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1"/>
  <workbookPr codeName="ThisWorkbook" defaultThemeVersion="124226"/>
  <mc:AlternateContent xmlns:mc="http://schemas.openxmlformats.org/markup-compatibility/2006">
    <mc:Choice Requires="x15">
      <x15ac:absPath xmlns:x15ac="http://schemas.microsoft.com/office/spreadsheetml/2010/11/ac" url="G:\DTSI DUE\DTSI\06_Déchets\03_Exploitation\11_Dimensionnement Conteneurs\2_Dimensionnement\"/>
    </mc:Choice>
  </mc:AlternateContent>
  <xr:revisionPtr revIDLastSave="0" documentId="13_ncr:1_{1E41DD33-888F-4C1D-8642-8EF5D3829CBF}" xr6:coauthVersionLast="36" xr6:coauthVersionMax="36" xr10:uidLastSave="{00000000-0000-0000-0000-000000000000}"/>
  <bookViews>
    <workbookView xWindow="132" yWindow="48" windowWidth="11616" windowHeight="7836" tabRatio="815" firstSheet="2" activeTab="2" xr2:uid="{00000000-000D-0000-FFFF-FFFF00000000}"/>
  </bookViews>
  <sheets>
    <sheet name="1. Stat dechet" sheetId="16" state="hidden" r:id="rId1"/>
    <sheet name="2. Dimension ecopoint" sheetId="18" state="hidden" r:id="rId2"/>
    <sheet name="Dimension prive en surface" sheetId="15" r:id="rId3"/>
    <sheet name="4. Stat ecopoint" sheetId="17" state="hidden" r:id="rId4"/>
  </sheets>
  <definedNames>
    <definedName name="_ftn1" localSheetId="2">'Dimension prive en surface'!$B$24</definedName>
    <definedName name="_ftnref1" localSheetId="2">'Dimension prive en surface'!$B$18</definedName>
  </definedNames>
  <calcPr calcId="191029"/>
</workbook>
</file>

<file path=xl/calcChain.xml><?xml version="1.0" encoding="utf-8"?>
<calcChain xmlns="http://schemas.openxmlformats.org/spreadsheetml/2006/main">
  <c r="Q14" i="17" l="1"/>
  <c r="P14" i="17"/>
  <c r="Q8" i="17"/>
  <c r="Q9" i="17"/>
  <c r="Q10" i="17"/>
  <c r="Q11" i="17"/>
  <c r="Q12" i="17"/>
  <c r="Q13" i="17"/>
  <c r="Q7" i="17"/>
  <c r="E49" i="18" l="1"/>
  <c r="E50" i="18"/>
  <c r="E40" i="18"/>
  <c r="E39" i="18"/>
  <c r="H25" i="15" l="1"/>
  <c r="J20" i="16"/>
  <c r="P13" i="18" l="1"/>
  <c r="O13" i="18"/>
  <c r="D13" i="18"/>
  <c r="P12" i="18"/>
  <c r="O12" i="18"/>
  <c r="P11" i="18"/>
  <c r="O11" i="18"/>
  <c r="D11" i="18"/>
  <c r="D10" i="18"/>
  <c r="P9" i="18"/>
  <c r="N9" i="18"/>
  <c r="M9" i="18"/>
  <c r="D9" i="18"/>
  <c r="D8" i="18"/>
  <c r="N19" i="17" l="1"/>
  <c r="H19" i="17"/>
  <c r="N18" i="17"/>
  <c r="H18" i="17"/>
  <c r="N17" i="17"/>
  <c r="H17" i="17"/>
  <c r="N16" i="17"/>
  <c r="H16" i="17"/>
  <c r="N13" i="17"/>
  <c r="H13" i="17"/>
  <c r="N12" i="17"/>
  <c r="H12" i="17"/>
  <c r="N11" i="17"/>
  <c r="H11" i="17"/>
  <c r="N10" i="17"/>
  <c r="H10" i="17"/>
  <c r="N9" i="17"/>
  <c r="H9" i="17"/>
  <c r="N8" i="17"/>
  <c r="H8" i="17"/>
  <c r="N7" i="17"/>
  <c r="H7" i="17"/>
  <c r="U26" i="16"/>
  <c r="U27" i="16" s="1"/>
  <c r="H22" i="16" s="1"/>
  <c r="T26" i="16"/>
  <c r="T27" i="16" s="1"/>
  <c r="G22" i="16" s="1"/>
  <c r="S26" i="16"/>
  <c r="S27" i="16" s="1"/>
  <c r="F22" i="16" s="1"/>
  <c r="H25" i="16"/>
  <c r="G25" i="16"/>
  <c r="F25" i="16"/>
  <c r="H24" i="16"/>
  <c r="G24" i="16"/>
  <c r="F24" i="16"/>
  <c r="H23" i="16"/>
  <c r="G23" i="16"/>
  <c r="F23" i="16"/>
  <c r="H21" i="16"/>
  <c r="G21" i="16"/>
  <c r="F21" i="16"/>
  <c r="H20" i="16"/>
  <c r="G20" i="16"/>
  <c r="F20" i="16"/>
  <c r="H19" i="16"/>
  <c r="U25" i="16" s="1"/>
  <c r="G19" i="16"/>
  <c r="T25" i="16" s="1"/>
  <c r="S25" i="16"/>
  <c r="AL13" i="16"/>
  <c r="AK13" i="16"/>
  <c r="AJ13" i="16"/>
  <c r="AI13" i="16"/>
  <c r="AH13" i="16"/>
  <c r="AG13" i="16"/>
  <c r="AF13" i="16"/>
  <c r="AE13" i="16"/>
  <c r="AD13" i="16"/>
  <c r="AC13" i="16"/>
  <c r="AB13" i="16"/>
  <c r="AA13" i="16"/>
  <c r="Z13" i="16"/>
  <c r="Y13" i="16"/>
  <c r="X13" i="16"/>
  <c r="W13" i="16"/>
  <c r="V13" i="16"/>
  <c r="U13" i="16"/>
  <c r="T13" i="16"/>
  <c r="S13" i="16"/>
  <c r="R13" i="16"/>
  <c r="Q13" i="16"/>
  <c r="P13" i="16"/>
  <c r="O13" i="16"/>
  <c r="N13" i="16"/>
  <c r="M13" i="16"/>
  <c r="L13" i="16"/>
  <c r="K13" i="16"/>
  <c r="J13" i="16"/>
  <c r="I13" i="16"/>
  <c r="H13" i="16"/>
  <c r="G13" i="16"/>
  <c r="F13" i="16"/>
  <c r="E13" i="16"/>
  <c r="D13" i="16"/>
  <c r="C13" i="16"/>
  <c r="AL12" i="16"/>
  <c r="AK12" i="16"/>
  <c r="AJ12" i="16"/>
  <c r="AI12" i="16"/>
  <c r="AH12" i="16"/>
  <c r="AG12" i="16"/>
  <c r="AF12" i="16"/>
  <c r="AE12" i="16"/>
  <c r="AD12" i="16"/>
  <c r="AC12" i="16"/>
  <c r="AB12" i="16"/>
  <c r="AA12" i="16"/>
  <c r="Z12" i="16"/>
  <c r="Y12" i="16"/>
  <c r="X12" i="16"/>
  <c r="W12" i="16"/>
  <c r="V12" i="16"/>
  <c r="U12" i="16"/>
  <c r="T12" i="16"/>
  <c r="S12" i="16"/>
  <c r="R12" i="16"/>
  <c r="Q12" i="16"/>
  <c r="P12" i="16"/>
  <c r="O12" i="16"/>
  <c r="N12" i="16"/>
  <c r="M12" i="16"/>
  <c r="L12" i="16"/>
  <c r="K12" i="16"/>
  <c r="J12" i="16"/>
  <c r="I12" i="16"/>
  <c r="H12" i="16"/>
  <c r="G12" i="16"/>
  <c r="F12" i="16"/>
  <c r="E12" i="16"/>
  <c r="D12" i="16"/>
  <c r="C12" i="16"/>
  <c r="AL11" i="16"/>
  <c r="AK11" i="16"/>
  <c r="AJ11" i="16"/>
  <c r="AI11" i="16"/>
  <c r="AH11" i="16"/>
  <c r="AG11" i="16"/>
  <c r="AF11" i="16"/>
  <c r="AE11" i="16"/>
  <c r="AD11" i="16"/>
  <c r="AC11" i="16"/>
  <c r="AB11" i="16"/>
  <c r="AA11" i="16"/>
  <c r="Z11" i="16"/>
  <c r="Y11" i="16"/>
  <c r="X11" i="16"/>
  <c r="W11" i="16"/>
  <c r="V11" i="16"/>
  <c r="U11" i="16"/>
  <c r="T11" i="16"/>
  <c r="S11" i="16"/>
  <c r="R11" i="16"/>
  <c r="Q11" i="16"/>
  <c r="P11" i="16"/>
  <c r="O11" i="16"/>
  <c r="N11" i="16"/>
  <c r="M11" i="16"/>
  <c r="L11" i="16"/>
  <c r="K11" i="16"/>
  <c r="J11" i="16"/>
  <c r="I11" i="16"/>
  <c r="H11" i="16"/>
  <c r="G11" i="16"/>
  <c r="F11" i="16"/>
  <c r="E11" i="16"/>
  <c r="D11" i="16"/>
  <c r="C11" i="16"/>
  <c r="I21" i="16" l="1"/>
  <c r="I25" i="16"/>
  <c r="I24" i="16"/>
  <c r="I20" i="16"/>
  <c r="I22" i="16"/>
  <c r="I23" i="16"/>
  <c r="L22" i="16"/>
  <c r="L23" i="16"/>
  <c r="L20" i="16"/>
  <c r="E8" i="18" s="1"/>
  <c r="L24" i="16"/>
  <c r="L21" i="16"/>
  <c r="E10" i="18" s="1"/>
  <c r="L25" i="16"/>
  <c r="C25" i="15"/>
  <c r="E12" i="18" l="1"/>
  <c r="G12" i="18" s="1"/>
  <c r="H12" i="18" s="1"/>
  <c r="E13" i="18"/>
  <c r="G13" i="18" s="1"/>
  <c r="H13" i="18" s="1"/>
  <c r="E9" i="18"/>
  <c r="G10" i="18"/>
  <c r="H10" i="18" s="1"/>
  <c r="E11" i="18"/>
  <c r="G11" i="18" s="1"/>
  <c r="H11" i="18" s="1"/>
  <c r="H18" i="15"/>
  <c r="J3" i="18" s="1"/>
  <c r="G8" i="18"/>
  <c r="E14" i="18" l="1"/>
  <c r="E15" i="18"/>
  <c r="G9" i="18"/>
  <c r="H9" i="18" s="1"/>
  <c r="E16" i="18"/>
  <c r="I11" i="18"/>
  <c r="J11" i="18" s="1"/>
  <c r="M11" i="18" s="1"/>
  <c r="I10" i="18"/>
  <c r="I12" i="18"/>
  <c r="J12" i="18" s="1"/>
  <c r="M12" i="18" s="1"/>
  <c r="I13" i="18"/>
  <c r="J13" i="18" s="1"/>
  <c r="M13" i="18" s="1"/>
  <c r="H8" i="18"/>
  <c r="I8" i="18"/>
  <c r="J8" i="18" s="1"/>
  <c r="O8" i="18" l="1"/>
  <c r="P8" i="18"/>
  <c r="J10" i="18"/>
  <c r="O10" i="18" s="1"/>
  <c r="D47" i="18"/>
  <c r="D37" i="18"/>
  <c r="D58" i="18"/>
  <c r="I9" i="18"/>
  <c r="J9" i="18" s="1"/>
  <c r="C34" i="15"/>
  <c r="M8" i="18"/>
  <c r="D56" i="18" s="1"/>
  <c r="N8" i="18"/>
  <c r="P10" i="18" l="1"/>
  <c r="D48" i="18" s="1"/>
  <c r="E48" i="18" s="1"/>
  <c r="N10" i="18"/>
  <c r="D38" i="18"/>
  <c r="E38" i="18" s="1"/>
  <c r="M10" i="18"/>
  <c r="C33" i="15" s="1"/>
  <c r="C32" i="15"/>
  <c r="E37" i="18"/>
  <c r="E47" i="18"/>
  <c r="E41" i="18" l="1"/>
  <c r="E51" i="18"/>
  <c r="D57" i="18"/>
  <c r="D60" i="18" l="1"/>
  <c r="G38" i="15" s="1"/>
</calcChain>
</file>

<file path=xl/sharedStrings.xml><?xml version="1.0" encoding="utf-8"?>
<sst xmlns="http://schemas.openxmlformats.org/spreadsheetml/2006/main" count="225" uniqueCount="143">
  <si>
    <t>Studio / 1 pièce</t>
  </si>
  <si>
    <t>2 pièces</t>
  </si>
  <si>
    <t>3 pièces</t>
  </si>
  <si>
    <t>4 pièces</t>
  </si>
  <si>
    <t>5 pièces</t>
  </si>
  <si>
    <t>Par pièce</t>
  </si>
  <si>
    <t>Cellules à compléter par le propriétaire ou mandataire</t>
  </si>
  <si>
    <t>Nombre d'habitants</t>
  </si>
  <si>
    <t>Par surface brute de plancher</t>
  </si>
  <si>
    <r>
      <t>Surface de plancher (m</t>
    </r>
    <r>
      <rPr>
        <vertAlign val="superscript"/>
        <sz val="11"/>
        <color theme="1"/>
        <rFont val="Calibri"/>
        <family val="2"/>
        <scheme val="minor"/>
      </rPr>
      <t>2</t>
    </r>
    <r>
      <rPr>
        <sz val="11"/>
        <color theme="1"/>
        <rFont val="Calibri"/>
        <family val="2"/>
        <scheme val="minor"/>
      </rPr>
      <t>)</t>
    </r>
  </si>
  <si>
    <t>L'estimation du nombre d'habitants peut se faire soit d'après le nombre de pièces soit d'après la surface brute de plancher des logements.</t>
  </si>
  <si>
    <t>Exemple: immeuble avec 6 appartements de 3 pièces et 2 appartements de 4 pièces</t>
  </si>
  <si>
    <t>Estimation du nombre de conteneurs</t>
  </si>
  <si>
    <t>Déchets verts</t>
  </si>
  <si>
    <t>Ordures ménagères</t>
  </si>
  <si>
    <t>Papier/ carton</t>
  </si>
  <si>
    <t>Dimensionnement</t>
  </si>
  <si>
    <t>Principes d'aménagement</t>
  </si>
  <si>
    <t>Dimensionnement et principes d'aménagement pour les conteneurs à déchets</t>
  </si>
  <si>
    <t>Estimation de la surface nécessaire</t>
  </si>
  <si>
    <t>Cet outil donne une estimation du nombre de conteneurs nécessaires pour équiper des immeubles.</t>
  </si>
  <si>
    <r>
      <t xml:space="preserve">Le tableau ci-dessous indique le nombre de conteneurs de 360 litres </t>
    </r>
    <r>
      <rPr>
        <b/>
        <u/>
        <sz val="11"/>
        <color theme="1"/>
        <rFont val="Calibri"/>
        <family val="2"/>
        <scheme val="minor"/>
      </rPr>
      <t>ou</t>
    </r>
    <r>
      <rPr>
        <sz val="11"/>
        <color theme="1"/>
        <rFont val="Calibri"/>
        <family val="2"/>
        <scheme val="minor"/>
      </rPr>
      <t xml:space="preserve"> de 770 litres nécessaires pour équiper l'immeuble</t>
    </r>
  </si>
  <si>
    <t xml:space="preserve">La surface indicative de l'aménagement pour entreposer les conteneurs est de </t>
  </si>
  <si>
    <t>Type d'appartements</t>
  </si>
  <si>
    <t>Nombre d'appartements de x pièces</t>
  </si>
  <si>
    <t>Pour toutes questions sur le dimensionnement, contacter Mme Gomez au 021.721.32.51 ou solene.gomez@pully.ch</t>
  </si>
  <si>
    <t>Pour toutes questions sur l'aménagement, contacter Mr. Bolay au 021.721.32.34 ou alain.bolay@pully.ch</t>
  </si>
  <si>
    <r>
      <t xml:space="preserve">L'outil est fourni à bien plaire et </t>
    </r>
    <r>
      <rPr>
        <b/>
        <sz val="11"/>
        <color rgb="FF000000"/>
        <rFont val="Calibri"/>
        <family val="2"/>
        <scheme val="minor"/>
      </rPr>
      <t xml:space="preserve">n'engage en aucun cas la responsabilité de la Ville de Pully </t>
    </r>
    <r>
      <rPr>
        <sz val="11"/>
        <color rgb="FF000000"/>
        <rFont val="Calibri"/>
        <family val="2"/>
        <scheme val="minor"/>
      </rPr>
      <t>en cas de sous ou de sur dimensionnement.</t>
    </r>
  </si>
  <si>
    <t>Evolution des tonnages collectés</t>
  </si>
  <si>
    <t xml:space="preserve"> </t>
  </si>
  <si>
    <t>Ordures ménagères (OM)</t>
  </si>
  <si>
    <t>Papier</t>
  </si>
  <si>
    <t xml:space="preserve">Déchets végétaux </t>
  </si>
  <si>
    <t>Verre</t>
  </si>
  <si>
    <t>P E T</t>
  </si>
  <si>
    <t>Aluminium / Fer blanc</t>
  </si>
  <si>
    <t>Total</t>
  </si>
  <si>
    <t>Total recyclables</t>
  </si>
  <si>
    <t>Total déchets OPEO</t>
  </si>
  <si>
    <t>Nombre d'habitant</t>
  </si>
  <si>
    <t>source déchets: G:\DTSI DUE\DTSI\05_Route - Voirie\03_Exploitation\25_Route - Voirie\Déchets\Récapitulation\Récup2017.xlsx</t>
  </si>
  <si>
    <t>source population : voir le tableau population dans le chapitre déchets du rapport de gestion</t>
  </si>
  <si>
    <t>Production annuelle par habitant</t>
  </si>
  <si>
    <t>Facteur de sécurité</t>
  </si>
  <si>
    <t>pour le calcul</t>
  </si>
  <si>
    <t>PET</t>
  </si>
  <si>
    <t>Aluminium/ Fer blanc</t>
  </si>
  <si>
    <t>Cas spécial des déchets végétaux</t>
  </si>
  <si>
    <t>Quantité totale estivale</t>
  </si>
  <si>
    <t>Quantité éq. annuelle</t>
  </si>
  <si>
    <t>Surface (360 l)</t>
  </si>
  <si>
    <t>Enterré (3'000 ou 5'000 l)</t>
  </si>
  <si>
    <t>DV</t>
  </si>
  <si>
    <t>Alu</t>
  </si>
  <si>
    <t>Textile</t>
  </si>
  <si>
    <t>Réserve</t>
  </si>
  <si>
    <t>Tot</t>
  </si>
  <si>
    <t>OM</t>
  </si>
  <si>
    <t>Ecopoints réalisés</t>
  </si>
  <si>
    <r>
      <t xml:space="preserve">Clergère actuel </t>
    </r>
    <r>
      <rPr>
        <sz val="9"/>
        <color theme="1"/>
        <rFont val="Calibri"/>
        <family val="2"/>
        <scheme val="minor"/>
      </rPr>
      <t>(verre en surface)</t>
    </r>
  </si>
  <si>
    <t>-</t>
  </si>
  <si>
    <t>Rochettaz</t>
  </si>
  <si>
    <t>Osches</t>
  </si>
  <si>
    <t>Carvalho</t>
  </si>
  <si>
    <t>Chamblandes</t>
  </si>
  <si>
    <t>Port</t>
  </si>
  <si>
    <t>Somais</t>
  </si>
  <si>
    <t>Ecopoints projetés</t>
  </si>
  <si>
    <t>Boverattes</t>
  </si>
  <si>
    <t>Clergère Nord</t>
  </si>
  <si>
    <t>Dimensionné pour 350 hab</t>
  </si>
  <si>
    <t>Clergère Pré la Tour</t>
  </si>
  <si>
    <t>Dimmensionné pour 380 hab + écopoint</t>
  </si>
  <si>
    <t>Clergère Prieuré</t>
  </si>
  <si>
    <t>Dimmensionné pour écopoint seul</t>
  </si>
  <si>
    <t>Chamblande dessous</t>
  </si>
  <si>
    <r>
      <t xml:space="preserve">150 
</t>
    </r>
    <r>
      <rPr>
        <b/>
        <sz val="9"/>
        <color theme="1"/>
        <rFont val="Calibri"/>
        <family val="2"/>
        <scheme val="minor"/>
      </rPr>
      <t>(dont 50 pour besoin privé et 100 pour public)</t>
    </r>
  </si>
  <si>
    <r>
      <t xml:space="preserve">Dimmensionné pour 200 hab </t>
    </r>
    <r>
      <rPr>
        <sz val="11"/>
        <color rgb="FFFF0000"/>
        <rFont val="Calibri"/>
        <family val="2"/>
        <scheme val="minor"/>
      </rPr>
      <t>+ écopoint</t>
    </r>
  </si>
  <si>
    <t>CHOIX</t>
  </si>
  <si>
    <t>Nombre d'habitants [X]:</t>
  </si>
  <si>
    <t>Nombre de conteneurs de … [l] nécessaires</t>
  </si>
  <si>
    <t>Poids spécifique (densité) 
[kg/m3]</t>
  </si>
  <si>
    <t>Quantité de déchet annuelle par habitant 
[kg/hab/an]</t>
  </si>
  <si>
    <t>Nombre de ramassage hebdomadaire
[-]</t>
  </si>
  <si>
    <t>Quantité de déchet par habitant et par passage
[kg/hab/passage]</t>
  </si>
  <si>
    <t>Volume de déchet par habitant et par passage 
[l/hab/passage]</t>
  </si>
  <si>
    <t>Quantité de déchet par passage pour X habitants [kg/passage]</t>
  </si>
  <si>
    <t>Volume de déchet par passage pour X habitants 
[l/passage]</t>
  </si>
  <si>
    <t>Aluminium</t>
  </si>
  <si>
    <t>Poids spécifique (densité)</t>
  </si>
  <si>
    <t>Poids spécifique (densité) [kg/m3]</t>
  </si>
  <si>
    <t>Infrastructures communales</t>
  </si>
  <si>
    <t>Données de Madeleine</t>
  </si>
  <si>
    <t>Canton de Genève</t>
  </si>
  <si>
    <t>ADEME</t>
  </si>
  <si>
    <t>120-150</t>
  </si>
  <si>
    <t>250-300</t>
  </si>
  <si>
    <t>300-500</t>
  </si>
  <si>
    <t>150-300</t>
  </si>
  <si>
    <t>80-120</t>
  </si>
  <si>
    <t>http://infrastructures-communales.ch/fr/Info/Documentation/Dechets/dechettteries</t>
  </si>
  <si>
    <t xml:space="preserve">http://ge.ch/dechets/media/dechets/files/fichiers/documents/Publications/fiche_3-equipement_des_immeubles_neufs_selon_le_ralci.pdf </t>
  </si>
  <si>
    <r>
      <t xml:space="preserve">Entreprise, comment bien gérer vos déchets, 2004, ADEME
</t>
    </r>
    <r>
      <rPr>
        <u/>
        <sz val="7"/>
        <color rgb="FF0000FF"/>
        <rFont val="Calibri"/>
        <family val="2"/>
        <scheme val="minor"/>
      </rPr>
      <t xml:space="preserve">http://www2.ademe.fr/servlet/getDoc?sort=-1&amp;cid=96&amp;m=3&amp;id=22634&amp;ref=&amp;nocache=yes&amp;p1=111 </t>
    </r>
  </si>
  <si>
    <t>Nombre de conteneurs</t>
  </si>
  <si>
    <t>Surface totale [m2]*</t>
  </si>
  <si>
    <t>Caractéristiques des écopoints</t>
  </si>
  <si>
    <t>(si inconnu : laisser vide, voir ci-dessous pour estimation)</t>
  </si>
  <si>
    <t>Nombre d'habitants
retenus pour le calcul</t>
  </si>
  <si>
    <t>Nombre de conteneurs nécessaires (AVEC facteur de sécurité)</t>
  </si>
  <si>
    <t>à compléter dans l'onglet '3. Dimension prive en surface'</t>
  </si>
  <si>
    <t>Surface nécessaire</t>
  </si>
  <si>
    <t>enterré
(3'000 ou 5'000 l)</t>
  </si>
  <si>
    <t>en surface 360 l</t>
  </si>
  <si>
    <t>réserve
en surface 360 l</t>
  </si>
  <si>
    <t>réserve enterré</t>
  </si>
  <si>
    <t>Valeurs retenues
(choix possible)</t>
  </si>
  <si>
    <t>selon discussions Aby (01.2019)</t>
  </si>
  <si>
    <r>
      <t>min 3 x 3 m</t>
    </r>
    <r>
      <rPr>
        <vertAlign val="superscript"/>
        <sz val="9"/>
        <color theme="1"/>
        <rFont val="Calibri"/>
        <family val="2"/>
        <scheme val="minor"/>
      </rPr>
      <t xml:space="preserve">3 </t>
    </r>
    <r>
      <rPr>
        <sz val="9"/>
        <color theme="1"/>
        <rFont val="Calibri"/>
        <family val="2"/>
        <scheme val="minor"/>
      </rPr>
      <t>(3 types de verre)</t>
    </r>
  </si>
  <si>
    <t>Surface 
 [m2]</t>
  </si>
  <si>
    <t>Surface
 [m2]</t>
  </si>
  <si>
    <t>-&gt; Pour aménagement avec conteneurs enterrés pour tous types de déchets (écopoint)</t>
  </si>
  <si>
    <t>-&gt; Pour aménagement avec conteneurs enterrés pour les déchets collectés au porte à porte uniquement</t>
  </si>
  <si>
    <t>Les conteneurs de de réserve sont des conteneurs qui ne seront installés sur site que si les capacités de stockage sont insuffisantes, ils sont inclus dans le calcul de la surface pour pouvoir les installer a posteriori.</t>
  </si>
  <si>
    <t>seuls les 360 l sont utilisés dans les écopoints</t>
  </si>
  <si>
    <t>OM (porte à porte)</t>
  </si>
  <si>
    <t>Facteur de sécurité (qt déchets):</t>
  </si>
  <si>
    <t>Taux de remplissage des conteneurs:</t>
  </si>
  <si>
    <t>-&gt; Pour aménagement avec conteneurs en surface pour les déchets collectés au porte à porte uniquement</t>
  </si>
  <si>
    <t>en surface OM</t>
  </si>
  <si>
    <t>en surface DV</t>
  </si>
  <si>
    <t>en surface papier</t>
  </si>
  <si>
    <t>Nombre</t>
  </si>
  <si>
    <t>[m2]</t>
  </si>
  <si>
    <r>
      <t>Surface éco mesurée [m</t>
    </r>
    <r>
      <rPr>
        <b/>
        <vertAlign val="superscript"/>
        <sz val="11"/>
        <color theme="1"/>
        <rFont val="Calibri"/>
        <family val="2"/>
        <scheme val="minor"/>
      </rPr>
      <t>2</t>
    </r>
    <r>
      <rPr>
        <b/>
        <sz val="11"/>
        <color theme="1"/>
        <rFont val="Calibri"/>
        <family val="2"/>
        <scheme val="minor"/>
      </rPr>
      <t>]*</t>
    </r>
  </si>
  <si>
    <r>
      <t>Surface [m</t>
    </r>
    <r>
      <rPr>
        <b/>
        <vertAlign val="superscript"/>
        <sz val="11"/>
        <color theme="1"/>
        <rFont val="Calibri"/>
        <family val="2"/>
        <scheme val="minor"/>
      </rPr>
      <t>2</t>
    </r>
    <r>
      <rPr>
        <b/>
        <sz val="11"/>
        <color theme="1"/>
        <rFont val="Calibri"/>
        <family val="2"/>
        <scheme val="minor"/>
      </rPr>
      <t>]
avec place de dépose</t>
    </r>
  </si>
  <si>
    <t>* La surface globale du site est mesurée (conteneurs + espacement entre les conteneurs, sans l'éventuelle place de déchargement) + 15m2 pour la place de dépose si non mesurée</t>
  </si>
  <si>
    <t>écopoint public</t>
  </si>
  <si>
    <t>3 (2/1)</t>
  </si>
  <si>
    <t>3 (5/3)</t>
  </si>
  <si>
    <t>écopint privé: 350 hab (SDP 11'400 m2) + écopoint public (privé/ public)</t>
  </si>
  <si>
    <t>2 (1/1)</t>
  </si>
  <si>
    <t>=ANNEE(C4)</t>
  </si>
  <si>
    <t>Déchets végétaux  (porte à porte)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</si>
</sst>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 #,##0.00_ ;_ * \-#,##0.00_ ;_ * &quot;-&quot;??_ ;_ @_ "/>
    <numFmt numFmtId="165" formatCode="0\ &quot;kg/an&quot;"/>
    <numFmt numFmtId="166" formatCode="0\ &quot;m2&quot;"/>
    <numFmt numFmtId="167" formatCode="0\ &quot;kg/m3&quot;"/>
    <numFmt numFmtId="168" formatCode="#,##0\ \K\g"/>
    <numFmt numFmtId="169" formatCode="#,##0\ \l"/>
    <numFmt numFmtId="170" formatCode="#,###"/>
    <numFmt numFmtId="171" formatCode="#,##0.0\ \K\g"/>
    <numFmt numFmtId="172" formatCode="#,##0.0\ \l"/>
    <numFmt numFmtId="173" formatCode="0.0"/>
  </numFmts>
  <fonts count="55" x14ac:knownFonts="1">
    <font>
      <sz val="11"/>
      <color theme="1"/>
      <name val="Calibri"/>
      <family val="2"/>
      <scheme val="minor"/>
    </font>
    <font>
      <sz val="12"/>
      <name val="Arial"/>
      <family val="2"/>
    </font>
    <font>
      <sz val="12"/>
      <name val="Arial"/>
      <family val="2"/>
    </font>
    <font>
      <sz val="11"/>
      <color theme="1"/>
      <name val="Calibri"/>
      <family val="2"/>
      <scheme val="minor"/>
    </font>
    <font>
      <sz val="13"/>
      <name val="Times New Roman"/>
      <family val="1"/>
    </font>
    <font>
      <b/>
      <sz val="11"/>
      <color theme="0"/>
      <name val="Calibri"/>
      <family val="2"/>
      <scheme val="minor"/>
    </font>
    <font>
      <u/>
      <sz val="11"/>
      <color theme="10"/>
      <name val="Calibri"/>
      <family val="2"/>
      <scheme val="minor"/>
    </font>
    <font>
      <b/>
      <sz val="11"/>
      <color theme="1"/>
      <name val="Calibri"/>
      <family val="2"/>
      <scheme val="minor"/>
    </font>
    <font>
      <i/>
      <sz val="11"/>
      <color theme="1"/>
      <name val="Calibri"/>
      <family val="2"/>
      <scheme val="minor"/>
    </font>
    <font>
      <sz val="11"/>
      <name val="Calibri"/>
      <family val="2"/>
      <scheme val="minor"/>
    </font>
    <font>
      <u/>
      <sz val="9"/>
      <color theme="10"/>
      <name val="Calibri"/>
      <family val="2"/>
      <scheme val="minor"/>
    </font>
    <font>
      <vertAlign val="superscript"/>
      <sz val="11"/>
      <color theme="1"/>
      <name val="Calibri"/>
      <family val="2"/>
      <scheme val="minor"/>
    </font>
    <font>
      <sz val="16"/>
      <color theme="1"/>
      <name val="Calibri"/>
      <family val="2"/>
      <scheme val="minor"/>
    </font>
    <font>
      <sz val="11"/>
      <color rgb="FF000000"/>
      <name val="Calibri"/>
      <family val="2"/>
      <scheme val="minor"/>
    </font>
    <font>
      <b/>
      <u/>
      <sz val="11"/>
      <color theme="1"/>
      <name val="Calibri"/>
      <family val="2"/>
      <scheme val="minor"/>
    </font>
    <font>
      <u/>
      <sz val="11"/>
      <color theme="1"/>
      <name val="Calibri"/>
      <family val="2"/>
      <scheme val="minor"/>
    </font>
    <font>
      <b/>
      <sz val="11"/>
      <color rgb="FF000000"/>
      <name val="Calibri"/>
      <family val="2"/>
      <scheme val="minor"/>
    </font>
    <font>
      <sz val="11"/>
      <color theme="0" tint="-0.34998626667073579"/>
      <name val="Calibri"/>
      <family val="2"/>
      <scheme val="minor"/>
    </font>
    <font>
      <i/>
      <sz val="11"/>
      <color theme="0" tint="-0.34998626667073579"/>
      <name val="Calibri"/>
      <family val="2"/>
      <scheme val="minor"/>
    </font>
    <font>
      <sz val="11"/>
      <color theme="0" tint="-0.249977111117893"/>
      <name val="Calibri"/>
      <family val="2"/>
      <scheme val="minor"/>
    </font>
    <font>
      <sz val="10"/>
      <color theme="0" tint="-0.249977111117893"/>
      <name val="Calibri"/>
      <family val="2"/>
      <scheme val="minor"/>
    </font>
    <font>
      <i/>
      <sz val="11"/>
      <color theme="0" tint="-0.249977111117893"/>
      <name val="Calibri"/>
      <family val="2"/>
      <scheme val="minor"/>
    </font>
    <font>
      <b/>
      <sz val="11"/>
      <name val="Calibri"/>
      <family val="2"/>
      <scheme val="minor"/>
    </font>
    <font>
      <i/>
      <sz val="11"/>
      <color rgb="FFFF0000"/>
      <name val="Calibri"/>
      <family val="2"/>
      <scheme val="minor"/>
    </font>
    <font>
      <sz val="11"/>
      <color rgb="FFFF0000"/>
      <name val="Calibri"/>
      <family val="2"/>
      <scheme val="minor"/>
    </font>
    <font>
      <sz val="11"/>
      <color theme="0"/>
      <name val="Calibri"/>
      <family val="2"/>
      <scheme val="minor"/>
    </font>
    <font>
      <sz val="9"/>
      <color theme="1"/>
      <name val="Calibri"/>
      <family val="2"/>
      <scheme val="minor"/>
    </font>
    <font>
      <sz val="10"/>
      <name val="Calibri"/>
      <family val="2"/>
      <scheme val="minor"/>
    </font>
    <font>
      <sz val="9"/>
      <name val="Calibri"/>
      <family val="2"/>
      <scheme val="minor"/>
    </font>
    <font>
      <b/>
      <sz val="9"/>
      <color theme="1"/>
      <name val="Calibri"/>
      <family val="2"/>
      <scheme val="minor"/>
    </font>
    <font>
      <b/>
      <sz val="9"/>
      <name val="Calibri"/>
      <family val="2"/>
      <scheme val="minor"/>
    </font>
    <font>
      <sz val="9"/>
      <color rgb="FFFF0000"/>
      <name val="Calibri"/>
      <family val="2"/>
      <scheme val="minor"/>
    </font>
    <font>
      <b/>
      <i/>
      <sz val="9"/>
      <color theme="1"/>
      <name val="Calibri"/>
      <family val="2"/>
      <scheme val="minor"/>
    </font>
    <font>
      <b/>
      <sz val="11"/>
      <color rgb="FFC00000"/>
      <name val="Calibri"/>
      <family val="2"/>
      <scheme val="minor"/>
    </font>
    <font>
      <b/>
      <sz val="9"/>
      <color theme="5" tint="-0.499984740745262"/>
      <name val="Calibri"/>
      <family val="2"/>
      <scheme val="minor"/>
    </font>
    <font>
      <b/>
      <sz val="10"/>
      <color rgb="FF000000"/>
      <name val="Arial"/>
      <family val="2"/>
    </font>
    <font>
      <sz val="9"/>
      <color theme="6" tint="-0.499984740745262"/>
      <name val="Calibri"/>
      <family val="2"/>
      <scheme val="minor"/>
    </font>
    <font>
      <sz val="11"/>
      <color theme="6" tint="-0.499984740745262"/>
      <name val="Calibri"/>
      <family val="2"/>
      <scheme val="minor"/>
    </font>
    <font>
      <b/>
      <vertAlign val="superscript"/>
      <sz val="11"/>
      <color theme="1"/>
      <name val="Calibri"/>
      <family val="2"/>
      <scheme val="minor"/>
    </font>
    <font>
      <sz val="8"/>
      <color theme="1"/>
      <name val="Calibri"/>
      <family val="2"/>
      <scheme val="minor"/>
    </font>
    <font>
      <vertAlign val="superscript"/>
      <sz val="9"/>
      <color theme="1"/>
      <name val="Calibri"/>
      <family val="2"/>
      <scheme val="minor"/>
    </font>
    <font>
      <b/>
      <sz val="11"/>
      <color rgb="FFFF0000"/>
      <name val="Calibri"/>
      <family val="2"/>
      <scheme val="minor"/>
    </font>
    <font>
      <sz val="11"/>
      <color rgb="FF006100"/>
      <name val="Calibri"/>
      <family val="2"/>
      <scheme val="minor"/>
    </font>
    <font>
      <sz val="11"/>
      <color rgb="FF9C6500"/>
      <name val="Calibri"/>
      <family val="2"/>
      <scheme val="minor"/>
    </font>
    <font>
      <b/>
      <sz val="11"/>
      <color theme="5" tint="-0.249977111117893"/>
      <name val="Calibri"/>
      <family val="2"/>
      <scheme val="minor"/>
    </font>
    <font>
      <i/>
      <sz val="9"/>
      <color theme="1"/>
      <name val="Calibri"/>
      <family val="2"/>
      <scheme val="minor"/>
    </font>
    <font>
      <i/>
      <sz val="8"/>
      <color theme="1"/>
      <name val="Calibri"/>
      <family val="2"/>
      <scheme val="minor"/>
    </font>
    <font>
      <b/>
      <sz val="9"/>
      <name val="Arial"/>
      <family val="2"/>
    </font>
    <font>
      <sz val="8"/>
      <name val="Arial"/>
      <family val="2"/>
    </font>
    <font>
      <u/>
      <sz val="7"/>
      <color theme="10"/>
      <name val="Calibri"/>
      <family val="2"/>
      <scheme val="minor"/>
    </font>
    <font>
      <sz val="7"/>
      <color theme="1"/>
      <name val="Calibri"/>
      <family val="2"/>
      <scheme val="minor"/>
    </font>
    <font>
      <u/>
      <sz val="7"/>
      <color rgb="FF0000FF"/>
      <name val="Calibri"/>
      <family val="2"/>
      <scheme val="minor"/>
    </font>
    <font>
      <b/>
      <sz val="9"/>
      <color theme="0"/>
      <name val="Calibri"/>
      <family val="2"/>
      <scheme val="minor"/>
    </font>
    <font>
      <b/>
      <strike/>
      <sz val="11"/>
      <color theme="1"/>
      <name val="Calibri"/>
      <family val="2"/>
      <scheme val="minor"/>
    </font>
    <font>
      <b/>
      <u/>
      <sz val="18"/>
      <color theme="1"/>
      <name val="Calibri"/>
      <family val="2"/>
      <scheme val="minor"/>
    </font>
  </fonts>
  <fills count="23">
    <fill>
      <patternFill patternType="none"/>
    </fill>
    <fill>
      <patternFill patternType="gray125"/>
    </fill>
    <fill>
      <patternFill patternType="solid">
        <fgColor theme="4" tint="-0.249977111117893"/>
        <bgColor indexed="64"/>
      </patternFill>
    </fill>
    <fill>
      <patternFill patternType="solid">
        <fgColor theme="0" tint="-4.9989318521683403E-2"/>
        <bgColor theme="0" tint="-4.9989318521683403E-2"/>
      </patternFill>
    </fill>
    <fill>
      <patternFill patternType="solid">
        <fgColor rgb="FFF7EAE9"/>
        <bgColor indexed="64"/>
      </patternFill>
    </fill>
    <fill>
      <patternFill patternType="solid">
        <fgColor theme="0"/>
        <bgColor indexed="64"/>
      </patternFill>
    </fill>
    <fill>
      <patternFill patternType="solid">
        <fgColor theme="6" tint="0.79998168889431442"/>
        <bgColor indexed="65"/>
      </patternFill>
    </fill>
    <fill>
      <patternFill patternType="solid">
        <fgColor theme="7" tint="0.79998168889431442"/>
        <bgColor indexed="65"/>
      </patternFill>
    </fill>
    <fill>
      <patternFill patternType="solid">
        <fgColor theme="9"/>
      </patternFill>
    </fill>
    <fill>
      <patternFill patternType="solid">
        <fgColor theme="6" tint="0.79998168889431442"/>
        <bgColor indexed="64"/>
      </patternFill>
    </fill>
    <fill>
      <patternFill patternType="solid">
        <fgColor theme="9" tint="0.79998168889431442"/>
        <bgColor indexed="64"/>
      </patternFill>
    </fill>
    <fill>
      <patternFill patternType="solid">
        <fgColor indexed="9"/>
        <bgColor indexed="64"/>
      </patternFill>
    </fill>
    <fill>
      <patternFill patternType="solid">
        <fgColor theme="8" tint="0.39997558519241921"/>
        <bgColor indexed="64"/>
      </patternFill>
    </fill>
    <fill>
      <patternFill patternType="solid">
        <fgColor theme="5" tint="-0.249977111117893"/>
        <bgColor indexed="64"/>
      </patternFill>
    </fill>
    <fill>
      <patternFill patternType="solid">
        <fgColor theme="6" tint="0.59999389629810485"/>
        <bgColor indexed="64"/>
      </patternFill>
    </fill>
    <fill>
      <patternFill patternType="solid">
        <fgColor theme="3"/>
        <bgColor indexed="64"/>
      </patternFill>
    </fill>
    <fill>
      <patternFill patternType="solid">
        <fgColor theme="2" tint="-9.9978637043366805E-2"/>
        <bgColor indexed="64"/>
      </patternFill>
    </fill>
    <fill>
      <patternFill patternType="lightUp">
        <fgColor theme="0" tint="-0.24994659260841701"/>
        <bgColor theme="0"/>
      </patternFill>
    </fill>
    <fill>
      <patternFill patternType="solid">
        <fgColor rgb="FFC6EFCE"/>
      </patternFill>
    </fill>
    <fill>
      <patternFill patternType="solid">
        <fgColor rgb="FFFFEB9C"/>
      </patternFill>
    </fill>
    <fill>
      <patternFill patternType="solid">
        <fgColor theme="0" tint="-4.9989318521683403E-2"/>
        <bgColor indexed="64"/>
      </patternFill>
    </fill>
    <fill>
      <patternFill patternType="lightDown">
        <bgColor theme="0"/>
      </patternFill>
    </fill>
    <fill>
      <patternFill patternType="solid">
        <fgColor theme="4" tint="0.7999816888943144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style="hair">
        <color indexed="64"/>
      </top>
      <bottom style="hair">
        <color indexed="64"/>
      </bottom>
      <diagonal/>
    </border>
    <border>
      <left/>
      <right style="double">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bottom/>
      <diagonal/>
    </border>
    <border>
      <left/>
      <right style="thin">
        <color indexed="64"/>
      </right>
      <top/>
      <bottom/>
      <diagonal/>
    </border>
    <border>
      <left/>
      <right style="hair">
        <color indexed="64"/>
      </right>
      <top/>
      <bottom/>
      <diagonal/>
    </border>
    <border>
      <left/>
      <right/>
      <top/>
      <bottom style="thick">
        <color indexed="64"/>
      </bottom>
      <diagonal/>
    </border>
    <border>
      <left style="thick">
        <color indexed="64"/>
      </left>
      <right style="thin">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thick">
        <color indexed="64"/>
      </right>
      <top style="thick">
        <color indexed="64"/>
      </top>
      <bottom style="hair">
        <color indexed="64"/>
      </bottom>
      <diagonal/>
    </border>
    <border>
      <left style="thick">
        <color indexed="64"/>
      </left>
      <right style="thick">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ck">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style="thick">
        <color indexed="64"/>
      </left>
      <right style="thick">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diagonal/>
    </border>
    <border>
      <left/>
      <right style="thick">
        <color indexed="64"/>
      </right>
      <top style="thin">
        <color indexed="64"/>
      </top>
      <bottom/>
      <diagonal/>
    </border>
    <border>
      <left style="thick">
        <color indexed="64"/>
      </left>
      <right style="thick">
        <color indexed="64"/>
      </right>
      <top/>
      <bottom/>
      <diagonal/>
    </border>
    <border>
      <left style="thin">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bottom/>
      <diagonal/>
    </border>
    <border>
      <left/>
      <right style="thick">
        <color indexed="64"/>
      </right>
      <top/>
      <bottom/>
      <diagonal/>
    </border>
    <border>
      <left style="thick">
        <color indexed="64"/>
      </left>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double">
        <color theme="5" tint="-0.24994659260841701"/>
      </left>
      <right/>
      <top style="double">
        <color theme="5" tint="-0.24994659260841701"/>
      </top>
      <bottom/>
      <diagonal/>
    </border>
    <border>
      <left/>
      <right/>
      <top style="double">
        <color theme="5" tint="-0.24994659260841701"/>
      </top>
      <bottom/>
      <diagonal/>
    </border>
    <border>
      <left/>
      <right style="double">
        <color theme="5" tint="-0.24994659260841701"/>
      </right>
      <top style="double">
        <color theme="5" tint="-0.24994659260841701"/>
      </top>
      <bottom/>
      <diagonal/>
    </border>
    <border>
      <left style="double">
        <color theme="5" tint="-0.24994659260841701"/>
      </left>
      <right/>
      <top/>
      <bottom/>
      <diagonal/>
    </border>
    <border>
      <left/>
      <right/>
      <top/>
      <bottom style="medium">
        <color indexed="64"/>
      </bottom>
      <diagonal/>
    </border>
    <border>
      <left/>
      <right style="double">
        <color theme="5" tint="-0.24994659260841701"/>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double">
        <color theme="5" tint="-0.24994659260841701"/>
      </left>
      <right/>
      <top/>
      <bottom style="double">
        <color theme="5" tint="-0.24994659260841701"/>
      </bottom>
      <diagonal/>
    </border>
    <border>
      <left/>
      <right/>
      <top/>
      <bottom style="double">
        <color theme="5" tint="-0.24994659260841701"/>
      </bottom>
      <diagonal/>
    </border>
    <border>
      <left/>
      <right style="double">
        <color theme="5" tint="-0.24994659260841701"/>
      </right>
      <top/>
      <bottom style="double">
        <color theme="5" tint="-0.24994659260841701"/>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diagonal/>
    </border>
    <border>
      <left style="thin">
        <color indexed="64"/>
      </left>
      <right style="thin">
        <color indexed="64"/>
      </right>
      <top style="hair">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hair">
        <color indexed="64"/>
      </top>
      <bottom style="medium">
        <color indexed="64"/>
      </bottom>
      <diagonal/>
    </border>
  </borders>
  <cellStyleXfs count="11">
    <xf numFmtId="0" fontId="0" fillId="0" borderId="0"/>
    <xf numFmtId="0" fontId="1" fillId="0" borderId="0"/>
    <xf numFmtId="164" fontId="2" fillId="0" borderId="0" applyFont="0" applyFill="0" applyBorder="0" applyAlignment="0" applyProtection="0"/>
    <xf numFmtId="0" fontId="4" fillId="0" borderId="0"/>
    <xf numFmtId="0" fontId="6" fillId="0" borderId="0" applyNumberFormat="0" applyFill="0" applyBorder="0" applyAlignment="0" applyProtection="0"/>
    <xf numFmtId="0" fontId="3" fillId="6" borderId="0" applyNumberFormat="0" applyBorder="0" applyAlignment="0" applyProtection="0"/>
    <xf numFmtId="0" fontId="3" fillId="7" borderId="0" applyNumberFormat="0" applyBorder="0" applyAlignment="0" applyProtection="0"/>
    <xf numFmtId="0" fontId="25" fillId="8" borderId="0" applyNumberFormat="0" applyBorder="0" applyAlignment="0" applyProtection="0"/>
    <xf numFmtId="0" fontId="42" fillId="18" borderId="0" applyNumberFormat="0" applyBorder="0" applyAlignment="0" applyProtection="0"/>
    <xf numFmtId="0" fontId="43" fillId="19" borderId="0" applyNumberFormat="0" applyBorder="0" applyAlignment="0" applyProtection="0"/>
    <xf numFmtId="164" fontId="1" fillId="0" borderId="0" applyFont="0" applyFill="0" applyBorder="0" applyAlignment="0" applyProtection="0"/>
  </cellStyleXfs>
  <cellXfs count="360">
    <xf numFmtId="0" fontId="0" fillId="0" borderId="0" xfId="0"/>
    <xf numFmtId="0" fontId="0" fillId="0" borderId="0" xfId="0" applyProtection="1"/>
    <xf numFmtId="0" fontId="12" fillId="0" borderId="0" xfId="0" applyFont="1" applyAlignment="1" applyProtection="1">
      <alignment horizontal="left"/>
    </xf>
    <xf numFmtId="0" fontId="0" fillId="0" borderId="0" xfId="0" applyAlignment="1" applyProtection="1">
      <alignment horizontal="left"/>
    </xf>
    <xf numFmtId="0" fontId="0" fillId="0" borderId="10" xfId="0" applyBorder="1" applyProtection="1"/>
    <xf numFmtId="0" fontId="0" fillId="0" borderId="7" xfId="0" applyBorder="1" applyProtection="1"/>
    <xf numFmtId="0" fontId="0" fillId="0" borderId="0" xfId="0" applyAlignment="1" applyProtection="1">
      <alignment horizontal="right"/>
    </xf>
    <xf numFmtId="0" fontId="0" fillId="0" borderId="0" xfId="0" applyFill="1" applyProtection="1"/>
    <xf numFmtId="0" fontId="13" fillId="0" borderId="0" xfId="0" applyFont="1" applyProtection="1"/>
    <xf numFmtId="0" fontId="15" fillId="0" borderId="0" xfId="0" applyFont="1" applyProtection="1"/>
    <xf numFmtId="0" fontId="0" fillId="3" borderId="1" xfId="0" applyFont="1" applyFill="1" applyBorder="1" applyAlignment="1" applyProtection="1">
      <alignment horizontal="center" vertical="center" wrapText="1"/>
    </xf>
    <xf numFmtId="0" fontId="8" fillId="0" borderId="6" xfId="0" applyFont="1" applyBorder="1" applyAlignment="1" applyProtection="1">
      <alignment horizontal="center" wrapText="1"/>
    </xf>
    <xf numFmtId="0" fontId="3" fillId="0" borderId="1" xfId="0" applyFont="1" applyBorder="1" applyAlignment="1" applyProtection="1">
      <alignment horizontal="center" vertical="center" wrapText="1"/>
    </xf>
    <xf numFmtId="0" fontId="8" fillId="0" borderId="6" xfId="0" applyFont="1" applyBorder="1" applyAlignment="1" applyProtection="1">
      <alignment horizontal="center"/>
    </xf>
    <xf numFmtId="0" fontId="10" fillId="0" borderId="0" xfId="4" applyFont="1" applyAlignment="1" applyProtection="1">
      <alignment horizontal="left" vertical="center"/>
    </xf>
    <xf numFmtId="0" fontId="7" fillId="0" borderId="0" xfId="0" applyFont="1" applyAlignment="1" applyProtection="1">
      <alignment horizontal="right"/>
    </xf>
    <xf numFmtId="0" fontId="0" fillId="0" borderId="0" xfId="0" quotePrefix="1" applyProtection="1"/>
    <xf numFmtId="0" fontId="0" fillId="0" borderId="0" xfId="0" applyFont="1" applyFill="1" applyBorder="1" applyAlignment="1" applyProtection="1">
      <alignment horizontal="right" vertical="center" wrapText="1"/>
    </xf>
    <xf numFmtId="0" fontId="0" fillId="0" borderId="5" xfId="0" applyBorder="1" applyAlignment="1" applyProtection="1">
      <alignment horizontal="center"/>
    </xf>
    <xf numFmtId="0" fontId="9" fillId="0" borderId="0" xfId="0" applyFont="1" applyProtection="1"/>
    <xf numFmtId="0" fontId="0" fillId="0" borderId="3" xfId="0" applyBorder="1" applyProtection="1"/>
    <xf numFmtId="0" fontId="0" fillId="0" borderId="3" xfId="0" applyBorder="1" applyAlignment="1" applyProtection="1">
      <alignment horizontal="center"/>
    </xf>
    <xf numFmtId="0" fontId="0" fillId="0" borderId="2" xfId="0" applyBorder="1" applyProtection="1"/>
    <xf numFmtId="165" fontId="9" fillId="0" borderId="7" xfId="0" applyNumberFormat="1" applyFont="1" applyBorder="1" applyAlignment="1" applyProtection="1">
      <alignment horizontal="center"/>
    </xf>
    <xf numFmtId="0" fontId="0" fillId="0" borderId="0" xfId="0" applyBorder="1" applyProtection="1"/>
    <xf numFmtId="0" fontId="0" fillId="0" borderId="0" xfId="0" applyFill="1" applyBorder="1" applyProtection="1"/>
    <xf numFmtId="0" fontId="0" fillId="0" borderId="0" xfId="0" applyFill="1" applyBorder="1" applyAlignment="1" applyProtection="1">
      <alignment horizontal="center"/>
    </xf>
    <xf numFmtId="0" fontId="0" fillId="0" borderId="12" xfId="0" applyBorder="1" applyProtection="1"/>
    <xf numFmtId="0" fontId="9" fillId="0" borderId="0" xfId="0" applyFont="1" applyBorder="1" applyProtection="1"/>
    <xf numFmtId="0" fontId="17" fillId="0" borderId="0" xfId="0" applyFont="1" applyFill="1" applyProtection="1"/>
    <xf numFmtId="0" fontId="18" fillId="0" borderId="0" xfId="0" applyFont="1" applyFill="1" applyAlignment="1" applyProtection="1">
      <alignment horizontal="left"/>
    </xf>
    <xf numFmtId="0" fontId="8" fillId="0" borderId="0" xfId="0" applyFont="1" applyProtection="1"/>
    <xf numFmtId="0" fontId="0" fillId="0" borderId="11" xfId="0" applyBorder="1" applyAlignment="1" applyProtection="1">
      <alignment horizontal="right"/>
    </xf>
    <xf numFmtId="0" fontId="19" fillId="0" borderId="0" xfId="0" applyFont="1" applyProtection="1"/>
    <xf numFmtId="0" fontId="20" fillId="0" borderId="0" xfId="0" applyFont="1" applyAlignment="1" applyProtection="1">
      <alignment horizontal="left"/>
    </xf>
    <xf numFmtId="0" fontId="19" fillId="0" borderId="0" xfId="0" applyFont="1" applyAlignment="1" applyProtection="1">
      <alignment horizontal="left"/>
    </xf>
    <xf numFmtId="0" fontId="19" fillId="0" borderId="7" xfId="0" applyFont="1" applyBorder="1" applyAlignment="1" applyProtection="1">
      <alignment horizontal="left"/>
    </xf>
    <xf numFmtId="165" fontId="19" fillId="0" borderId="7" xfId="0" applyNumberFormat="1" applyFont="1" applyBorder="1" applyAlignment="1" applyProtection="1">
      <alignment horizontal="left"/>
    </xf>
    <xf numFmtId="0" fontId="19" fillId="5" borderId="0" xfId="0" applyFont="1" applyFill="1" applyAlignment="1" applyProtection="1">
      <alignment horizontal="left"/>
    </xf>
    <xf numFmtId="0" fontId="21" fillId="5" borderId="0" xfId="0" applyFont="1" applyFill="1" applyAlignment="1" applyProtection="1">
      <alignment horizontal="center"/>
    </xf>
    <xf numFmtId="165" fontId="21" fillId="5" borderId="0" xfId="0" applyNumberFormat="1" applyFont="1" applyFill="1" applyAlignment="1" applyProtection="1">
      <alignment horizontal="center"/>
    </xf>
    <xf numFmtId="167" fontId="21" fillId="5" borderId="0" xfId="0" applyNumberFormat="1" applyFont="1" applyFill="1" applyAlignment="1" applyProtection="1">
      <alignment horizontal="center"/>
    </xf>
    <xf numFmtId="0" fontId="19" fillId="5" borderId="0" xfId="0" applyFont="1" applyFill="1" applyProtection="1"/>
    <xf numFmtId="166" fontId="22" fillId="0" borderId="0" xfId="0" applyNumberFormat="1" applyFont="1" applyAlignment="1" applyProtection="1">
      <alignment horizontal="left"/>
    </xf>
    <xf numFmtId="0" fontId="23" fillId="5" borderId="0" xfId="0" applyFont="1" applyFill="1" applyAlignment="1" applyProtection="1">
      <alignment horizontal="left"/>
    </xf>
    <xf numFmtId="0" fontId="0" fillId="0" borderId="0" xfId="0" applyFont="1"/>
    <xf numFmtId="0" fontId="0" fillId="0" borderId="13" xfId="0" applyFont="1" applyBorder="1"/>
    <xf numFmtId="0" fontId="26" fillId="0" borderId="0" xfId="0" applyFont="1"/>
    <xf numFmtId="0" fontId="7" fillId="0" borderId="0" xfId="0" applyFont="1" applyAlignment="1">
      <alignment horizontal="center"/>
    </xf>
    <xf numFmtId="0" fontId="27" fillId="11" borderId="16" xfId="1" applyNumberFormat="1" applyFont="1" applyFill="1" applyBorder="1" applyAlignment="1" applyProtection="1">
      <alignment vertical="center"/>
      <protection locked="0"/>
    </xf>
    <xf numFmtId="168" fontId="28" fillId="0" borderId="17" xfId="1" applyNumberFormat="1" applyFont="1" applyFill="1" applyBorder="1" applyProtection="1">
      <protection locked="0"/>
    </xf>
    <xf numFmtId="168" fontId="28" fillId="0" borderId="18" xfId="1" applyNumberFormat="1" applyFont="1" applyFill="1" applyBorder="1" applyProtection="1">
      <protection locked="0"/>
    </xf>
    <xf numFmtId="168" fontId="28" fillId="0" borderId="19" xfId="1" applyNumberFormat="1" applyFont="1" applyFill="1" applyBorder="1" applyProtection="1">
      <protection locked="0"/>
    </xf>
    <xf numFmtId="0" fontId="27" fillId="11" borderId="20" xfId="1" applyNumberFormat="1" applyFont="1" applyFill="1" applyBorder="1" applyAlignment="1" applyProtection="1">
      <alignment vertical="center"/>
      <protection locked="0"/>
    </xf>
    <xf numFmtId="168" fontId="28" fillId="0" borderId="21" xfId="1" applyNumberFormat="1" applyFont="1" applyFill="1" applyBorder="1" applyProtection="1">
      <protection locked="0"/>
    </xf>
    <xf numFmtId="168" fontId="28" fillId="0" borderId="22" xfId="1" applyNumberFormat="1" applyFont="1" applyFill="1" applyBorder="1" applyProtection="1">
      <protection locked="0"/>
    </xf>
    <xf numFmtId="168" fontId="28" fillId="0" borderId="23" xfId="1" applyNumberFormat="1" applyFont="1" applyFill="1" applyBorder="1" applyProtection="1">
      <protection locked="0"/>
    </xf>
    <xf numFmtId="0" fontId="27" fillId="0" borderId="20" xfId="1" applyNumberFormat="1" applyFont="1" applyBorder="1" applyAlignment="1" applyProtection="1">
      <alignment vertical="center"/>
      <protection locked="0"/>
    </xf>
    <xf numFmtId="0" fontId="27" fillId="0" borderId="24" xfId="1" applyNumberFormat="1" applyFont="1" applyBorder="1" applyAlignment="1" applyProtection="1">
      <alignment horizontal="left" vertical="center"/>
      <protection locked="0"/>
    </xf>
    <xf numFmtId="168" fontId="28" fillId="0" borderId="25" xfId="1" applyNumberFormat="1" applyFont="1" applyFill="1" applyBorder="1" applyAlignment="1" applyProtection="1">
      <alignment horizontal="right"/>
      <protection locked="0"/>
    </xf>
    <xf numFmtId="168" fontId="28" fillId="0" borderId="26" xfId="1" applyNumberFormat="1" applyFont="1" applyFill="1" applyBorder="1" applyAlignment="1" applyProtection="1">
      <alignment horizontal="right"/>
      <protection locked="0"/>
    </xf>
    <xf numFmtId="168" fontId="28" fillId="0" borderId="27" xfId="1" applyNumberFormat="1" applyFont="1" applyFill="1" applyBorder="1" applyAlignment="1" applyProtection="1">
      <alignment horizontal="right"/>
      <protection locked="0"/>
    </xf>
    <xf numFmtId="0" fontId="28" fillId="11" borderId="28" xfId="1" applyNumberFormat="1" applyFont="1" applyFill="1" applyBorder="1" applyAlignment="1" applyProtection="1">
      <alignment vertical="center"/>
      <protection locked="0"/>
    </xf>
    <xf numFmtId="168" fontId="26" fillId="0" borderId="29" xfId="0" applyNumberFormat="1" applyFont="1" applyBorder="1"/>
    <xf numFmtId="168" fontId="26" fillId="0" borderId="30" xfId="0" applyNumberFormat="1" applyFont="1" applyBorder="1"/>
    <xf numFmtId="168" fontId="28" fillId="0" borderId="31" xfId="0" applyNumberFormat="1" applyFont="1" applyBorder="1"/>
    <xf numFmtId="168" fontId="28" fillId="0" borderId="32" xfId="0" applyNumberFormat="1" applyFont="1" applyBorder="1"/>
    <xf numFmtId="168" fontId="28" fillId="0" borderId="30" xfId="0" applyNumberFormat="1" applyFont="1" applyBorder="1"/>
    <xf numFmtId="168" fontId="28" fillId="0" borderId="33" xfId="0" applyNumberFormat="1" applyFont="1" applyBorder="1"/>
    <xf numFmtId="0" fontId="28" fillId="11" borderId="34" xfId="1" applyNumberFormat="1" applyFont="1" applyFill="1" applyBorder="1" applyAlignment="1" applyProtection="1">
      <alignment vertical="center"/>
      <protection locked="0"/>
    </xf>
    <xf numFmtId="168" fontId="26" fillId="0" borderId="11" xfId="0" applyNumberFormat="1" applyFont="1" applyBorder="1"/>
    <xf numFmtId="168" fontId="26" fillId="0" borderId="35" xfId="0" applyNumberFormat="1" applyFont="1" applyBorder="1"/>
    <xf numFmtId="168" fontId="28" fillId="0" borderId="36" xfId="0" applyNumberFormat="1" applyFont="1" applyBorder="1"/>
    <xf numFmtId="168" fontId="28" fillId="0" borderId="37" xfId="0" applyNumberFormat="1" applyFont="1" applyBorder="1"/>
    <xf numFmtId="168" fontId="28" fillId="0" borderId="35" xfId="0" applyNumberFormat="1" applyFont="1" applyBorder="1"/>
    <xf numFmtId="168" fontId="28" fillId="0" borderId="38" xfId="0" applyNumberFormat="1" applyFont="1" applyBorder="1"/>
    <xf numFmtId="0" fontId="28" fillId="11" borderId="39" xfId="1" applyNumberFormat="1" applyFont="1" applyFill="1" applyBorder="1" applyAlignment="1" applyProtection="1">
      <alignment vertical="center"/>
      <protection locked="0"/>
    </xf>
    <xf numFmtId="168" fontId="26" fillId="0" borderId="40" xfId="0" applyNumberFormat="1" applyFont="1" applyBorder="1"/>
    <xf numFmtId="168" fontId="26" fillId="0" borderId="41" xfId="0" applyNumberFormat="1" applyFont="1" applyBorder="1"/>
    <xf numFmtId="168" fontId="28" fillId="0" borderId="41" xfId="0" applyNumberFormat="1" applyFont="1" applyBorder="1"/>
    <xf numFmtId="168" fontId="28" fillId="0" borderId="42" xfId="0" applyNumberFormat="1" applyFont="1" applyBorder="1"/>
    <xf numFmtId="168" fontId="28" fillId="0" borderId="40" xfId="0" applyNumberFormat="1" applyFont="1" applyBorder="1"/>
    <xf numFmtId="168" fontId="28" fillId="0" borderId="43" xfId="0" applyNumberFormat="1" applyFont="1" applyBorder="1"/>
    <xf numFmtId="0" fontId="29" fillId="12" borderId="15" xfId="0" applyFont="1" applyFill="1" applyBorder="1"/>
    <xf numFmtId="0" fontId="29" fillId="0" borderId="0" xfId="0" applyFont="1"/>
    <xf numFmtId="0" fontId="8" fillId="0" borderId="0" xfId="0" applyFont="1"/>
    <xf numFmtId="0" fontId="31" fillId="0" borderId="0" xfId="0" applyFont="1"/>
    <xf numFmtId="0" fontId="0" fillId="0" borderId="47" xfId="0" applyFont="1" applyBorder="1"/>
    <xf numFmtId="0" fontId="0" fillId="0" borderId="48" xfId="0" applyFont="1" applyBorder="1"/>
    <xf numFmtId="0" fontId="0" fillId="0" borderId="49" xfId="0" applyFont="1" applyBorder="1"/>
    <xf numFmtId="0" fontId="0" fillId="0" borderId="50" xfId="0" applyFont="1" applyBorder="1"/>
    <xf numFmtId="0" fontId="32" fillId="0" borderId="3" xfId="0" applyFont="1" applyFill="1" applyBorder="1" applyAlignment="1">
      <alignment horizontal="center"/>
    </xf>
    <xf numFmtId="49" fontId="29" fillId="10" borderId="30" xfId="0" applyNumberFormat="1" applyFont="1" applyFill="1" applyBorder="1" applyAlignment="1">
      <alignment horizontal="center"/>
    </xf>
    <xf numFmtId="0" fontId="29" fillId="10" borderId="30" xfId="0" applyFont="1" applyFill="1" applyBorder="1" applyAlignment="1">
      <alignment horizontal="center"/>
    </xf>
    <xf numFmtId="0" fontId="33" fillId="0" borderId="51" xfId="0" applyFont="1" applyBorder="1" applyAlignment="1">
      <alignment horizontal="center"/>
    </xf>
    <xf numFmtId="0" fontId="0" fillId="0" borderId="0" xfId="0" applyFont="1" applyBorder="1"/>
    <xf numFmtId="0" fontId="0" fillId="0" borderId="52" xfId="0" applyFont="1" applyBorder="1"/>
    <xf numFmtId="0" fontId="28" fillId="10" borderId="53" xfId="1" applyNumberFormat="1" applyFont="1" applyFill="1" applyBorder="1" applyAlignment="1" applyProtection="1">
      <alignment vertical="center"/>
      <protection locked="0"/>
    </xf>
    <xf numFmtId="0" fontId="28" fillId="10" borderId="54" xfId="1" applyNumberFormat="1" applyFont="1" applyFill="1" applyBorder="1" applyAlignment="1" applyProtection="1">
      <alignment vertical="center"/>
      <protection locked="0"/>
    </xf>
    <xf numFmtId="168" fontId="34" fillId="10" borderId="30" xfId="5" applyNumberFormat="1" applyFont="1" applyFill="1" applyBorder="1"/>
    <xf numFmtId="168" fontId="7" fillId="0" borderId="0" xfId="0" applyNumberFormat="1" applyFont="1" applyAlignment="1">
      <alignment horizontal="left"/>
    </xf>
    <xf numFmtId="9" fontId="5" fillId="13" borderId="5" xfId="0" applyNumberFormat="1" applyFont="1" applyFill="1" applyBorder="1" applyAlignment="1">
      <alignment horizontal="center"/>
    </xf>
    <xf numFmtId="0" fontId="28" fillId="10" borderId="22" xfId="1" applyNumberFormat="1" applyFont="1" applyFill="1" applyBorder="1" applyAlignment="1" applyProtection="1">
      <alignment vertical="center"/>
      <protection locked="0"/>
    </xf>
    <xf numFmtId="0" fontId="28" fillId="10" borderId="21" xfId="1" applyNumberFormat="1" applyFont="1" applyFill="1" applyBorder="1" applyAlignment="1" applyProtection="1">
      <alignment vertical="center"/>
      <protection locked="0"/>
    </xf>
    <xf numFmtId="168" fontId="34" fillId="10" borderId="35" xfId="5" applyNumberFormat="1" applyFont="1" applyFill="1" applyBorder="1"/>
    <xf numFmtId="3" fontId="35" fillId="0" borderId="0" xfId="0" applyNumberFormat="1" applyFont="1"/>
    <xf numFmtId="0" fontId="36" fillId="10" borderId="22" xfId="1" applyNumberFormat="1" applyFont="1" applyFill="1" applyBorder="1" applyAlignment="1" applyProtection="1">
      <alignment vertical="center"/>
      <protection locked="0"/>
    </xf>
    <xf numFmtId="168" fontId="30" fillId="14" borderId="35" xfId="5" applyNumberFormat="1" applyFont="1" applyFill="1" applyBorder="1"/>
    <xf numFmtId="0" fontId="28" fillId="10" borderId="55" xfId="1" applyNumberFormat="1" applyFont="1" applyFill="1" applyBorder="1" applyAlignment="1" applyProtection="1">
      <alignment vertical="center"/>
      <protection locked="0"/>
    </xf>
    <xf numFmtId="0" fontId="28" fillId="10" borderId="56" xfId="1" applyNumberFormat="1" applyFont="1" applyFill="1" applyBorder="1" applyAlignment="1" applyProtection="1">
      <alignment vertical="center"/>
      <protection locked="0"/>
    </xf>
    <xf numFmtId="0" fontId="28" fillId="10" borderId="3" xfId="1" applyNumberFormat="1" applyFont="1" applyFill="1" applyBorder="1" applyAlignment="1" applyProtection="1">
      <alignment vertical="center"/>
      <protection locked="0"/>
    </xf>
    <xf numFmtId="168" fontId="34" fillId="10" borderId="57" xfId="5" applyNumberFormat="1" applyFont="1" applyFill="1" applyBorder="1"/>
    <xf numFmtId="0" fontId="32" fillId="0" borderId="3" xfId="0" applyFont="1" applyBorder="1" applyAlignment="1">
      <alignment horizontal="center"/>
    </xf>
    <xf numFmtId="49" fontId="26" fillId="0" borderId="0" xfId="0" applyNumberFormat="1" applyFont="1" applyAlignment="1">
      <alignment horizontal="center"/>
    </xf>
    <xf numFmtId="0" fontId="0" fillId="0" borderId="58" xfId="0" applyFont="1" applyBorder="1"/>
    <xf numFmtId="0" fontId="0" fillId="0" borderId="59" xfId="0" applyFont="1" applyBorder="1"/>
    <xf numFmtId="0" fontId="0" fillId="0" borderId="60" xfId="0" applyFont="1" applyBorder="1"/>
    <xf numFmtId="168" fontId="0" fillId="0" borderId="0" xfId="0" applyNumberFormat="1" applyFont="1"/>
    <xf numFmtId="168" fontId="37" fillId="9" borderId="0" xfId="7" applyNumberFormat="1" applyFont="1" applyFill="1"/>
    <xf numFmtId="0" fontId="5" fillId="15" borderId="0" xfId="0" applyFont="1" applyFill="1" applyBorder="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0" xfId="0" applyFill="1" applyBorder="1" applyAlignment="1">
      <alignment horizontal="center" vertical="center" wrapText="1"/>
    </xf>
    <xf numFmtId="0" fontId="7" fillId="16" borderId="0" xfId="0" applyFont="1" applyFill="1" applyBorder="1" applyAlignment="1">
      <alignment horizontal="center" vertical="center" wrapText="1"/>
    </xf>
    <xf numFmtId="0" fontId="0" fillId="0" borderId="62" xfId="0" applyFill="1" applyBorder="1" applyAlignment="1">
      <alignment horizontal="center" vertical="center"/>
    </xf>
    <xf numFmtId="0" fontId="0" fillId="0" borderId="0" xfId="0" applyFill="1" applyBorder="1" applyAlignment="1">
      <alignment horizontal="center" vertical="center"/>
    </xf>
    <xf numFmtId="0" fontId="7" fillId="16" borderId="11" xfId="0" applyFont="1" applyFill="1" applyBorder="1" applyAlignment="1">
      <alignment horizontal="center" vertical="center"/>
    </xf>
    <xf numFmtId="0" fontId="0" fillId="0" borderId="30" xfId="0" applyFill="1" applyBorder="1" applyAlignment="1">
      <alignment horizontal="center" vertical="center"/>
    </xf>
    <xf numFmtId="0" fontId="7" fillId="0" borderId="30" xfId="0" applyFont="1" applyFill="1" applyBorder="1" applyAlignment="1">
      <alignment horizontal="center" vertical="center" wrapText="1"/>
    </xf>
    <xf numFmtId="0" fontId="7" fillId="16" borderId="30" xfId="0" applyFont="1" applyFill="1" applyBorder="1" applyAlignment="1">
      <alignment horizontal="center" vertical="center" wrapText="1"/>
    </xf>
    <xf numFmtId="0" fontId="0" fillId="0" borderId="0" xfId="0" applyAlignment="1">
      <alignment horizontal="right"/>
    </xf>
    <xf numFmtId="0" fontId="0" fillId="0" borderId="63" xfId="0" applyFill="1" applyBorder="1" applyAlignment="1">
      <alignment horizontal="center"/>
    </xf>
    <xf numFmtId="0" fontId="0" fillId="0" borderId="64" xfId="0" applyFill="1" applyBorder="1" applyAlignment="1">
      <alignment horizontal="center"/>
    </xf>
    <xf numFmtId="0" fontId="9" fillId="0" borderId="64" xfId="0" applyFont="1" applyFill="1" applyBorder="1" applyAlignment="1">
      <alignment horizontal="center"/>
    </xf>
    <xf numFmtId="0" fontId="24" fillId="17" borderId="65" xfId="0" applyFont="1" applyFill="1" applyBorder="1" applyAlignment="1">
      <alignment horizontal="center"/>
    </xf>
    <xf numFmtId="0" fontId="7" fillId="16" borderId="3" xfId="0" applyFont="1" applyFill="1" applyBorder="1" applyAlignment="1">
      <alignment horizontal="center"/>
    </xf>
    <xf numFmtId="0" fontId="0" fillId="0" borderId="66" xfId="0" quotePrefix="1" applyFill="1" applyBorder="1" applyAlignment="1">
      <alignment horizontal="center"/>
    </xf>
    <xf numFmtId="0" fontId="0" fillId="0" borderId="65" xfId="0" quotePrefix="1" applyFill="1" applyBorder="1" applyAlignment="1">
      <alignment horizontal="center"/>
    </xf>
    <xf numFmtId="0" fontId="0" fillId="17" borderId="64" xfId="0" applyFill="1" applyBorder="1" applyAlignment="1">
      <alignment horizontal="center"/>
    </xf>
    <xf numFmtId="0" fontId="0" fillId="17" borderId="65" xfId="0" applyFill="1" applyBorder="1" applyAlignment="1">
      <alignment horizontal="center"/>
    </xf>
    <xf numFmtId="0" fontId="7" fillId="16" borderId="67" xfId="0" applyFont="1" applyFill="1" applyBorder="1" applyAlignment="1">
      <alignment horizontal="center"/>
    </xf>
    <xf numFmtId="1" fontId="7" fillId="0" borderId="57" xfId="0" applyNumberFormat="1" applyFont="1" applyBorder="1" applyAlignment="1">
      <alignment horizontal="center"/>
    </xf>
    <xf numFmtId="1" fontId="7" fillId="16" borderId="57" xfId="0" applyNumberFormat="1" applyFont="1" applyFill="1" applyBorder="1" applyAlignment="1">
      <alignment horizontal="center"/>
    </xf>
    <xf numFmtId="0" fontId="39" fillId="0" borderId="0" xfId="0" applyFont="1"/>
    <xf numFmtId="0" fontId="0" fillId="0" borderId="66" xfId="0" applyFill="1" applyBorder="1" applyAlignment="1">
      <alignment horizontal="center"/>
    </xf>
    <xf numFmtId="0" fontId="0" fillId="0" borderId="65" xfId="0" applyFill="1" applyBorder="1" applyAlignment="1">
      <alignment horizontal="center"/>
    </xf>
    <xf numFmtId="1" fontId="22" fillId="0" borderId="1" xfId="0" applyNumberFormat="1" applyFont="1" applyBorder="1" applyAlignment="1">
      <alignment horizontal="center"/>
    </xf>
    <xf numFmtId="0" fontId="39" fillId="0" borderId="0" xfId="0" applyFont="1" applyFill="1" applyBorder="1" applyAlignment="1">
      <alignment horizontal="right"/>
    </xf>
    <xf numFmtId="1" fontId="7" fillId="0" borderId="1" xfId="0" applyNumberFormat="1" applyFont="1" applyBorder="1" applyAlignment="1">
      <alignment horizontal="center"/>
    </xf>
    <xf numFmtId="0" fontId="0" fillId="0" borderId="0" xfId="0" applyFill="1" applyBorder="1" applyAlignment="1">
      <alignment horizontal="right"/>
    </xf>
    <xf numFmtId="0" fontId="0" fillId="0" borderId="61" xfId="0" applyFill="1" applyBorder="1" applyAlignment="1">
      <alignment horizontal="center"/>
    </xf>
    <xf numFmtId="0" fontId="0" fillId="0" borderId="62" xfId="0" applyFill="1" applyBorder="1" applyAlignment="1">
      <alignment horizontal="center"/>
    </xf>
    <xf numFmtId="0" fontId="0" fillId="17" borderId="62" xfId="0" applyFill="1" applyBorder="1" applyAlignment="1">
      <alignment horizontal="center"/>
    </xf>
    <xf numFmtId="1" fontId="7" fillId="0" borderId="30" xfId="0" applyNumberFormat="1" applyFont="1" applyBorder="1" applyAlignment="1">
      <alignment horizontal="center"/>
    </xf>
    <xf numFmtId="0" fontId="0" fillId="0" borderId="0" xfId="0" applyFill="1" applyBorder="1" applyAlignment="1">
      <alignment horizontal="right" vertical="center"/>
    </xf>
    <xf numFmtId="0" fontId="0" fillId="0" borderId="65" xfId="0" quotePrefix="1" applyFill="1" applyBorder="1" applyAlignment="1">
      <alignment horizontal="center" vertical="center"/>
    </xf>
    <xf numFmtId="0" fontId="7" fillId="16" borderId="3" xfId="0" applyFont="1" applyFill="1" applyBorder="1" applyAlignment="1">
      <alignment horizontal="center" vertical="center"/>
    </xf>
    <xf numFmtId="0" fontId="7" fillId="16" borderId="67" xfId="0" applyFont="1" applyFill="1" applyBorder="1" applyAlignment="1">
      <alignment horizontal="center" vertical="center"/>
    </xf>
    <xf numFmtId="0" fontId="0" fillId="0" borderId="66" xfId="0" quotePrefix="1" applyFill="1" applyBorder="1" applyAlignment="1">
      <alignment horizontal="center" vertical="center"/>
    </xf>
    <xf numFmtId="0" fontId="0" fillId="0" borderId="66" xfId="0" applyFill="1" applyBorder="1" applyAlignment="1">
      <alignment horizontal="center" vertical="center"/>
    </xf>
    <xf numFmtId="0" fontId="0" fillId="0" borderId="57" xfId="0" applyBorder="1" applyAlignment="1">
      <alignment vertical="center"/>
    </xf>
    <xf numFmtId="1" fontId="7" fillId="0" borderId="1" xfId="0" applyNumberFormat="1" applyFont="1" applyBorder="1" applyAlignment="1">
      <alignment horizontal="center" vertical="center"/>
    </xf>
    <xf numFmtId="1" fontId="7" fillId="16" borderId="1" xfId="0" applyNumberFormat="1" applyFont="1" applyFill="1" applyBorder="1" applyAlignment="1">
      <alignment horizontal="center" vertical="center"/>
    </xf>
    <xf numFmtId="0" fontId="0" fillId="0" borderId="11" xfId="0" applyFill="1" applyBorder="1" applyAlignment="1">
      <alignment horizontal="right" vertical="center"/>
    </xf>
    <xf numFmtId="0" fontId="0" fillId="0" borderId="68" xfId="0" quotePrefix="1" applyFill="1" applyBorder="1" applyAlignment="1">
      <alignment horizontal="center" vertical="center"/>
    </xf>
    <xf numFmtId="0" fontId="7" fillId="16" borderId="69" xfId="0" applyFont="1" applyFill="1" applyBorder="1" applyAlignment="1">
      <alignment horizontal="center" vertical="center"/>
    </xf>
    <xf numFmtId="0" fontId="0" fillId="0" borderId="1" xfId="0" applyBorder="1" applyAlignment="1">
      <alignment vertical="center" wrapText="1"/>
    </xf>
    <xf numFmtId="1" fontId="7" fillId="16" borderId="1" xfId="0" applyNumberFormat="1" applyFont="1" applyFill="1" applyBorder="1" applyAlignment="1">
      <alignment horizontal="center" vertical="center" wrapText="1"/>
    </xf>
    <xf numFmtId="0" fontId="0" fillId="0" borderId="65" xfId="0" applyFill="1" applyBorder="1" applyAlignment="1">
      <alignment horizontal="center" vertical="center"/>
    </xf>
    <xf numFmtId="0" fontId="7" fillId="16" borderId="9" xfId="0" applyFont="1" applyFill="1" applyBorder="1" applyAlignment="1">
      <alignment horizontal="center" vertical="center"/>
    </xf>
    <xf numFmtId="0" fontId="0" fillId="0" borderId="1" xfId="0" applyBorder="1" applyAlignment="1">
      <alignment vertical="center"/>
    </xf>
    <xf numFmtId="0" fontId="28" fillId="0" borderId="0" xfId="0" applyFont="1" applyFill="1" applyBorder="1"/>
    <xf numFmtId="0" fontId="26" fillId="0" borderId="0" xfId="0" applyFont="1" applyAlignment="1">
      <alignment horizontal="left"/>
    </xf>
    <xf numFmtId="0" fontId="24" fillId="0" borderId="66" xfId="0" applyFont="1" applyFill="1" applyBorder="1" applyAlignment="1">
      <alignment horizontal="center" vertical="center"/>
    </xf>
    <xf numFmtId="0" fontId="24" fillId="0" borderId="65" xfId="0" applyFont="1" applyFill="1" applyBorder="1" applyAlignment="1">
      <alignment horizontal="center" vertical="center"/>
    </xf>
    <xf numFmtId="0" fontId="24" fillId="0" borderId="65" xfId="0" quotePrefix="1" applyFont="1" applyFill="1" applyBorder="1" applyAlignment="1">
      <alignment horizontal="center" vertical="center"/>
    </xf>
    <xf numFmtId="0" fontId="41" fillId="16" borderId="3" xfId="0" applyFont="1" applyFill="1" applyBorder="1" applyAlignment="1">
      <alignment horizontal="center" vertical="center"/>
    </xf>
    <xf numFmtId="0" fontId="41" fillId="16" borderId="67" xfId="0" applyFont="1" applyFill="1" applyBorder="1" applyAlignment="1">
      <alignment horizontal="center" vertical="center"/>
    </xf>
    <xf numFmtId="1" fontId="41" fillId="16" borderId="1" xfId="0" applyNumberFormat="1" applyFont="1" applyFill="1" applyBorder="1" applyAlignment="1">
      <alignment horizontal="center" vertical="center"/>
    </xf>
    <xf numFmtId="0" fontId="5" fillId="13" borderId="0" xfId="0" applyFont="1" applyFill="1" applyAlignment="1">
      <alignment horizontal="left"/>
    </xf>
    <xf numFmtId="0" fontId="26" fillId="0" borderId="0" xfId="0" applyFont="1" applyAlignment="1">
      <alignment horizontal="right"/>
    </xf>
    <xf numFmtId="0" fontId="5" fillId="2" borderId="4" xfId="0" applyFont="1" applyFill="1" applyBorder="1"/>
    <xf numFmtId="9" fontId="5" fillId="13" borderId="0" xfId="0" applyNumberFormat="1" applyFont="1" applyFill="1" applyAlignment="1">
      <alignment horizontal="center"/>
    </xf>
    <xf numFmtId="0" fontId="0" fillId="0" borderId="0" xfId="0" applyAlignment="1">
      <alignment horizontal="left"/>
    </xf>
    <xf numFmtId="0" fontId="0" fillId="0" borderId="0" xfId="0" applyFill="1"/>
    <xf numFmtId="0" fontId="29" fillId="20" borderId="30" xfId="0" applyFont="1" applyFill="1" applyBorder="1" applyAlignment="1">
      <alignment horizontal="center" vertical="center" wrapText="1"/>
    </xf>
    <xf numFmtId="0" fontId="29" fillId="20" borderId="1" xfId="0" applyFont="1" applyFill="1" applyBorder="1" applyAlignment="1">
      <alignment horizontal="center" vertical="center" wrapText="1"/>
    </xf>
    <xf numFmtId="0" fontId="0" fillId="0" borderId="70" xfId="0" applyBorder="1"/>
    <xf numFmtId="0" fontId="29" fillId="0" borderId="67" xfId="0" applyFont="1" applyBorder="1" applyAlignment="1">
      <alignment horizontal="center" wrapText="1"/>
    </xf>
    <xf numFmtId="169" fontId="29" fillId="20" borderId="30" xfId="0" applyNumberFormat="1" applyFont="1" applyFill="1" applyBorder="1" applyAlignment="1">
      <alignment horizontal="center" vertical="center" wrapText="1"/>
    </xf>
    <xf numFmtId="168" fontId="44" fillId="0" borderId="30" xfId="5" applyNumberFormat="1" applyFont="1" applyFill="1" applyBorder="1" applyAlignment="1">
      <alignment horizontal="center"/>
    </xf>
    <xf numFmtId="170" fontId="44" fillId="0" borderId="30" xfId="5" applyNumberFormat="1" applyFont="1" applyFill="1" applyBorder="1" applyAlignment="1">
      <alignment horizontal="center"/>
    </xf>
    <xf numFmtId="168" fontId="44" fillId="0" borderId="35" xfId="5" applyNumberFormat="1" applyFont="1" applyFill="1" applyBorder="1" applyAlignment="1">
      <alignment horizontal="center"/>
    </xf>
    <xf numFmtId="168" fontId="44" fillId="0" borderId="57" xfId="5" applyNumberFormat="1" applyFont="1" applyFill="1" applyBorder="1" applyAlignment="1">
      <alignment horizontal="center"/>
    </xf>
    <xf numFmtId="170" fontId="44" fillId="0" borderId="57" xfId="5" applyNumberFormat="1" applyFont="1" applyFill="1" applyBorder="1" applyAlignment="1">
      <alignment horizontal="center"/>
    </xf>
    <xf numFmtId="0" fontId="0" fillId="0" borderId="30" xfId="0" applyBorder="1"/>
    <xf numFmtId="0" fontId="0" fillId="0" borderId="29" xfId="0" applyBorder="1"/>
    <xf numFmtId="0" fontId="0" fillId="0" borderId="0" xfId="0" applyBorder="1"/>
    <xf numFmtId="0" fontId="26" fillId="0" borderId="0" xfId="0" applyFont="1" applyBorder="1" applyAlignment="1">
      <alignment vertical="top" wrapText="1"/>
    </xf>
    <xf numFmtId="0" fontId="26" fillId="0" borderId="0" xfId="0" applyFont="1" applyBorder="1" applyAlignment="1">
      <alignment vertical="top"/>
    </xf>
    <xf numFmtId="0" fontId="0" fillId="0" borderId="35" xfId="0" applyBorder="1"/>
    <xf numFmtId="168" fontId="45" fillId="0" borderId="35" xfId="5" applyNumberFormat="1" applyFont="1" applyFill="1" applyBorder="1"/>
    <xf numFmtId="0" fontId="0" fillId="0" borderId="11" xfId="0" applyBorder="1"/>
    <xf numFmtId="0" fontId="0" fillId="0" borderId="57" xfId="0" applyBorder="1"/>
    <xf numFmtId="168" fontId="45" fillId="0" borderId="57" xfId="5" applyNumberFormat="1" applyFont="1" applyFill="1" applyBorder="1"/>
    <xf numFmtId="0" fontId="0" fillId="0" borderId="67" xfId="0" applyBorder="1"/>
    <xf numFmtId="0" fontId="46" fillId="0" borderId="0" xfId="0" applyFont="1"/>
    <xf numFmtId="0" fontId="25" fillId="2" borderId="73" xfId="0" applyFont="1" applyFill="1" applyBorder="1"/>
    <xf numFmtId="0" fontId="25" fillId="2" borderId="74" xfId="0" applyFont="1" applyFill="1" applyBorder="1"/>
    <xf numFmtId="0" fontId="0" fillId="0" borderId="0" xfId="0" applyFill="1" applyBorder="1"/>
    <xf numFmtId="0" fontId="9" fillId="0" borderId="0" xfId="0" applyFont="1" applyFill="1"/>
    <xf numFmtId="0" fontId="26" fillId="0" borderId="0" xfId="0" applyFont="1" applyFill="1" applyBorder="1" applyAlignment="1">
      <alignment horizontal="center" vertical="center" wrapText="1"/>
    </xf>
    <xf numFmtId="0" fontId="48" fillId="0" borderId="0" xfId="0" applyFont="1" applyFill="1" applyBorder="1" applyAlignment="1">
      <alignment horizontal="center" vertical="center"/>
    </xf>
    <xf numFmtId="0" fontId="28" fillId="20" borderId="53" xfId="1" applyNumberFormat="1" applyFont="1" applyFill="1" applyBorder="1" applyAlignment="1" applyProtection="1">
      <alignment vertical="center"/>
      <protection locked="0"/>
    </xf>
    <xf numFmtId="0" fontId="28" fillId="20" borderId="75" xfId="1" applyNumberFormat="1" applyFont="1" applyFill="1" applyBorder="1" applyAlignment="1" applyProtection="1">
      <alignment vertical="center"/>
      <protection locked="0"/>
    </xf>
    <xf numFmtId="0" fontId="48" fillId="0" borderId="0" xfId="0" applyFont="1" applyFill="1" applyBorder="1" applyAlignment="1">
      <alignment horizontal="center"/>
    </xf>
    <xf numFmtId="0" fontId="39" fillId="0" borderId="0" xfId="0" applyFont="1" applyFill="1" applyBorder="1"/>
    <xf numFmtId="0" fontId="28" fillId="20" borderId="22" xfId="1" applyNumberFormat="1" applyFont="1" applyFill="1" applyBorder="1" applyAlignment="1" applyProtection="1">
      <alignment vertical="center"/>
      <protection locked="0"/>
    </xf>
    <xf numFmtId="0" fontId="28" fillId="20" borderId="55" xfId="1" applyNumberFormat="1" applyFont="1" applyFill="1" applyBorder="1" applyAlignment="1" applyProtection="1">
      <alignment vertical="center"/>
      <protection locked="0"/>
    </xf>
    <xf numFmtId="0" fontId="28" fillId="20" borderId="70" xfId="1" applyNumberFormat="1" applyFont="1" applyFill="1" applyBorder="1" applyAlignment="1" applyProtection="1">
      <alignment vertical="center"/>
      <protection locked="0"/>
    </xf>
    <xf numFmtId="0" fontId="28" fillId="20" borderId="11" xfId="1" applyNumberFormat="1" applyFont="1" applyFill="1" applyBorder="1" applyAlignment="1" applyProtection="1">
      <alignment vertical="center"/>
      <protection locked="0"/>
    </xf>
    <xf numFmtId="0" fontId="48" fillId="0" borderId="0" xfId="0" applyFont="1" applyFill="1" applyBorder="1"/>
    <xf numFmtId="0" fontId="28" fillId="20" borderId="26" xfId="1" applyNumberFormat="1" applyFont="1" applyFill="1" applyBorder="1" applyAlignment="1" applyProtection="1">
      <alignment vertical="center"/>
      <protection locked="0"/>
    </xf>
    <xf numFmtId="0" fontId="28" fillId="20" borderId="76" xfId="1" applyNumberFormat="1" applyFont="1" applyFill="1" applyBorder="1" applyAlignment="1" applyProtection="1">
      <alignment vertical="center"/>
      <protection locked="0"/>
    </xf>
    <xf numFmtId="0" fontId="26" fillId="0" borderId="57" xfId="0" applyFont="1" applyFill="1" applyBorder="1" applyAlignment="1">
      <alignment horizontal="right"/>
    </xf>
    <xf numFmtId="0" fontId="48" fillId="0" borderId="0" xfId="0" applyFont="1"/>
    <xf numFmtId="0" fontId="29" fillId="0" borderId="4" xfId="0" applyFont="1" applyBorder="1" applyAlignment="1">
      <alignment horizontal="right"/>
    </xf>
    <xf numFmtId="1" fontId="0" fillId="0" borderId="74" xfId="0" applyNumberFormat="1" applyBorder="1"/>
    <xf numFmtId="168" fontId="45" fillId="0" borderId="30" xfId="5" applyNumberFormat="1" applyFont="1" applyFill="1" applyBorder="1"/>
    <xf numFmtId="0" fontId="0" fillId="0" borderId="0" xfId="0" applyFill="1" applyBorder="1" applyAlignment="1" applyProtection="1">
      <alignment horizontal="right"/>
    </xf>
    <xf numFmtId="0" fontId="5" fillId="0" borderId="0" xfId="0" applyFont="1" applyFill="1" applyAlignment="1">
      <alignment horizontal="left"/>
    </xf>
    <xf numFmtId="0" fontId="49" fillId="0" borderId="0" xfId="4" applyFont="1" applyFill="1" applyBorder="1" applyAlignment="1">
      <alignment horizontal="right" vertical="top" wrapText="1"/>
    </xf>
    <xf numFmtId="0" fontId="0" fillId="0" borderId="0" xfId="0" applyAlignment="1">
      <alignment vertical="top"/>
    </xf>
    <xf numFmtId="0" fontId="49" fillId="0" borderId="0" xfId="4" applyFont="1" applyAlignment="1">
      <alignment vertical="top" wrapText="1"/>
    </xf>
    <xf numFmtId="0" fontId="50" fillId="0" borderId="0" xfId="0" applyFont="1" applyAlignment="1">
      <alignment vertical="top" wrapText="1"/>
    </xf>
    <xf numFmtId="0" fontId="25" fillId="15" borderId="8" xfId="0" applyFont="1" applyFill="1" applyBorder="1" applyProtection="1"/>
    <xf numFmtId="0" fontId="25" fillId="15" borderId="2" xfId="0" applyFont="1" applyFill="1" applyBorder="1" applyProtection="1"/>
    <xf numFmtId="0" fontId="25" fillId="15" borderId="9" xfId="0" applyFont="1" applyFill="1" applyBorder="1" applyProtection="1"/>
    <xf numFmtId="0" fontId="5" fillId="15" borderId="4" xfId="0" applyFont="1" applyFill="1" applyBorder="1" applyAlignment="1" applyProtection="1">
      <alignment vertical="center"/>
    </xf>
    <xf numFmtId="0" fontId="26" fillId="0" borderId="0" xfId="0" applyFont="1" applyFill="1"/>
    <xf numFmtId="173" fontId="52" fillId="13" borderId="79" xfId="8" applyNumberFormat="1" applyFont="1" applyFill="1" applyBorder="1" applyAlignment="1">
      <alignment vertical="center"/>
    </xf>
    <xf numFmtId="173" fontId="0" fillId="0" borderId="0" xfId="0" applyNumberFormat="1" applyFill="1"/>
    <xf numFmtId="169" fontId="26" fillId="20" borderId="77" xfId="0" applyNumberFormat="1" applyFont="1" applyFill="1" applyBorder="1" applyAlignment="1">
      <alignment horizontal="right"/>
    </xf>
    <xf numFmtId="1" fontId="0" fillId="0" borderId="80" xfId="0" applyNumberFormat="1" applyBorder="1"/>
    <xf numFmtId="0" fontId="29" fillId="20" borderId="9" xfId="0" applyFont="1" applyFill="1" applyBorder="1" applyAlignment="1">
      <alignment horizontal="center" wrapText="1"/>
    </xf>
    <xf numFmtId="169" fontId="26" fillId="20" borderId="35" xfId="0" applyNumberFormat="1" applyFont="1" applyFill="1" applyBorder="1" applyAlignment="1">
      <alignment horizontal="right" wrapText="1"/>
    </xf>
    <xf numFmtId="0" fontId="29" fillId="0" borderId="82" xfId="0" applyFont="1" applyBorder="1" applyAlignment="1">
      <alignment horizontal="right"/>
    </xf>
    <xf numFmtId="1" fontId="0" fillId="0" borderId="83" xfId="0" applyNumberFormat="1" applyBorder="1"/>
    <xf numFmtId="173" fontId="26" fillId="0" borderId="84" xfId="0" applyNumberFormat="1" applyFont="1" applyBorder="1"/>
    <xf numFmtId="0" fontId="26" fillId="0" borderId="85" xfId="0" applyFont="1" applyFill="1" applyBorder="1" applyAlignment="1">
      <alignment horizontal="right"/>
    </xf>
    <xf numFmtId="168" fontId="44" fillId="0" borderId="85" xfId="5" applyNumberFormat="1" applyFont="1" applyFill="1" applyBorder="1" applyAlignment="1">
      <alignment horizontal="center"/>
    </xf>
    <xf numFmtId="170" fontId="44" fillId="0" borderId="85" xfId="5" applyNumberFormat="1" applyFont="1" applyFill="1" applyBorder="1" applyAlignment="1">
      <alignment horizontal="center"/>
    </xf>
    <xf numFmtId="0" fontId="28" fillId="9" borderId="77" xfId="9" applyFont="1" applyFill="1" applyBorder="1" applyAlignment="1">
      <alignment horizontal="right"/>
    </xf>
    <xf numFmtId="0" fontId="28" fillId="9" borderId="85" xfId="9" applyFont="1" applyFill="1" applyBorder="1" applyAlignment="1">
      <alignment horizontal="right"/>
    </xf>
    <xf numFmtId="0" fontId="28" fillId="9" borderId="35" xfId="9" applyFont="1" applyFill="1" applyBorder="1" applyAlignment="1">
      <alignment horizontal="right"/>
    </xf>
    <xf numFmtId="0" fontId="26" fillId="0" borderId="55" xfId="0" applyFont="1" applyFill="1" applyBorder="1" applyAlignment="1">
      <alignment horizontal="right"/>
    </xf>
    <xf numFmtId="0" fontId="28" fillId="0" borderId="55" xfId="0" applyFont="1" applyFill="1" applyBorder="1" applyAlignment="1">
      <alignment horizontal="center"/>
    </xf>
    <xf numFmtId="0" fontId="26" fillId="20" borderId="8" xfId="0" applyFont="1" applyFill="1" applyBorder="1" applyAlignment="1">
      <alignment horizontal="center" vertical="center" wrapText="1"/>
    </xf>
    <xf numFmtId="0" fontId="26" fillId="20" borderId="1" xfId="0" applyFont="1" applyFill="1" applyBorder="1" applyAlignment="1">
      <alignment horizontal="center" vertical="center" wrapText="1"/>
    </xf>
    <xf numFmtId="0" fontId="26" fillId="20" borderId="9" xfId="0" applyFont="1" applyFill="1" applyBorder="1" applyAlignment="1">
      <alignment horizontal="center" vertical="center" wrapText="1"/>
    </xf>
    <xf numFmtId="0" fontId="29" fillId="20" borderId="9" xfId="0" applyFont="1" applyFill="1" applyBorder="1" applyAlignment="1">
      <alignment horizontal="center" vertical="center" wrapText="1"/>
    </xf>
    <xf numFmtId="0" fontId="8" fillId="0" borderId="0" xfId="0" applyFont="1" applyFill="1" applyBorder="1"/>
    <xf numFmtId="173" fontId="7" fillId="9" borderId="77" xfId="0" applyNumberFormat="1" applyFont="1" applyFill="1" applyBorder="1" applyAlignment="1">
      <alignment horizontal="right"/>
    </xf>
    <xf numFmtId="173" fontId="53" fillId="0" borderId="85" xfId="0" applyNumberFormat="1" applyFont="1" applyFill="1" applyBorder="1" applyAlignment="1">
      <alignment horizontal="right"/>
    </xf>
    <xf numFmtId="173" fontId="41" fillId="0" borderId="85" xfId="0" applyNumberFormat="1" applyFont="1" applyFill="1" applyBorder="1" applyAlignment="1">
      <alignment horizontal="right"/>
    </xf>
    <xf numFmtId="173" fontId="7" fillId="9" borderId="85" xfId="0" applyNumberFormat="1" applyFont="1" applyFill="1" applyBorder="1" applyAlignment="1">
      <alignment horizontal="right"/>
    </xf>
    <xf numFmtId="173" fontId="7" fillId="9" borderId="35" xfId="0" applyNumberFormat="1" applyFont="1" applyFill="1" applyBorder="1" applyAlignment="1">
      <alignment horizontal="right"/>
    </xf>
    <xf numFmtId="173" fontId="7" fillId="9" borderId="35" xfId="0" quotePrefix="1" applyNumberFormat="1" applyFont="1" applyFill="1" applyBorder="1" applyAlignment="1">
      <alignment horizontal="right"/>
    </xf>
    <xf numFmtId="173" fontId="7" fillId="0" borderId="85" xfId="0" applyNumberFormat="1" applyFont="1" applyFill="1" applyBorder="1" applyAlignment="1">
      <alignment horizontal="right"/>
    </xf>
    <xf numFmtId="173" fontId="7" fillId="0" borderId="85" xfId="0" quotePrefix="1" applyNumberFormat="1" applyFont="1" applyFill="1" applyBorder="1" applyAlignment="1">
      <alignment horizontal="right"/>
    </xf>
    <xf numFmtId="173" fontId="7" fillId="0" borderId="57" xfId="0" applyNumberFormat="1" applyFont="1" applyFill="1" applyBorder="1" applyAlignment="1">
      <alignment horizontal="right"/>
    </xf>
    <xf numFmtId="173" fontId="7" fillId="0" borderId="57" xfId="0" quotePrefix="1" applyNumberFormat="1" applyFont="1" applyFill="1" applyBorder="1" applyAlignment="1">
      <alignment horizontal="right"/>
    </xf>
    <xf numFmtId="173" fontId="7" fillId="0" borderId="67" xfId="0" applyNumberFormat="1" applyFont="1" applyFill="1" applyBorder="1" applyAlignment="1">
      <alignment horizontal="right"/>
    </xf>
    <xf numFmtId="173" fontId="52" fillId="13" borderId="78" xfId="8" applyNumberFormat="1" applyFont="1" applyFill="1" applyBorder="1" applyAlignment="1">
      <alignment vertical="center"/>
    </xf>
    <xf numFmtId="169" fontId="26" fillId="20" borderId="78" xfId="0" applyNumberFormat="1" applyFont="1" applyFill="1" applyBorder="1" applyAlignment="1">
      <alignment horizontal="right" wrapText="1"/>
    </xf>
    <xf numFmtId="169" fontId="26" fillId="20" borderId="85" xfId="0" applyNumberFormat="1" applyFont="1" applyFill="1" applyBorder="1" applyAlignment="1">
      <alignment horizontal="right" wrapText="1"/>
    </xf>
    <xf numFmtId="173" fontId="52" fillId="13" borderId="35" xfId="8" applyNumberFormat="1" applyFont="1" applyFill="1" applyBorder="1" applyAlignment="1">
      <alignment vertical="center"/>
    </xf>
    <xf numFmtId="169" fontId="26" fillId="20" borderId="79" xfId="0" applyNumberFormat="1" applyFont="1" applyFill="1" applyBorder="1" applyAlignment="1">
      <alignment horizontal="right" wrapText="1"/>
    </xf>
    <xf numFmtId="0" fontId="29" fillId="20" borderId="8" xfId="0" applyFont="1" applyFill="1" applyBorder="1" applyAlignment="1">
      <alignment horizontal="center" vertical="center" wrapText="1"/>
    </xf>
    <xf numFmtId="173" fontId="26" fillId="0" borderId="75" xfId="0" applyNumberFormat="1" applyFont="1" applyBorder="1"/>
    <xf numFmtId="0" fontId="0" fillId="0" borderId="86" xfId="0" applyBorder="1"/>
    <xf numFmtId="0" fontId="0" fillId="0" borderId="87" xfId="0" applyBorder="1"/>
    <xf numFmtId="173" fontId="29" fillId="0" borderId="78" xfId="0" applyNumberFormat="1" applyFont="1" applyBorder="1"/>
    <xf numFmtId="173" fontId="29" fillId="0" borderId="77" xfId="0" applyNumberFormat="1" applyFont="1" applyBorder="1"/>
    <xf numFmtId="0" fontId="0" fillId="0" borderId="0" xfId="0" quotePrefix="1" applyFont="1"/>
    <xf numFmtId="168" fontId="44" fillId="0" borderId="79" xfId="5" applyNumberFormat="1" applyFont="1" applyFill="1" applyBorder="1" applyAlignment="1">
      <alignment horizontal="center"/>
    </xf>
    <xf numFmtId="168" fontId="44" fillId="0" borderId="81" xfId="5" applyNumberFormat="1" applyFont="1" applyFill="1" applyBorder="1" applyAlignment="1">
      <alignment horizontal="center"/>
    </xf>
    <xf numFmtId="0" fontId="26" fillId="0" borderId="17" xfId="0" applyFont="1" applyBorder="1" applyAlignment="1">
      <alignment horizontal="center"/>
    </xf>
    <xf numFmtId="0" fontId="26" fillId="0" borderId="18" xfId="0" applyFont="1" applyBorder="1" applyAlignment="1">
      <alignment horizontal="center"/>
    </xf>
    <xf numFmtId="0" fontId="26" fillId="0" borderId="78" xfId="0" applyFont="1" applyBorder="1" applyAlignment="1">
      <alignment horizontal="center"/>
    </xf>
    <xf numFmtId="0" fontId="26" fillId="0" borderId="11" xfId="0" applyFont="1" applyFill="1" applyBorder="1" applyAlignment="1">
      <alignment horizontal="center"/>
    </xf>
    <xf numFmtId="0" fontId="26" fillId="0" borderId="0" xfId="0" applyFont="1" applyBorder="1" applyAlignment="1">
      <alignment horizontal="center"/>
    </xf>
    <xf numFmtId="0" fontId="26" fillId="0" borderId="35" xfId="0" applyFont="1" applyBorder="1" applyAlignment="1">
      <alignment horizontal="center"/>
    </xf>
    <xf numFmtId="0" fontId="26" fillId="0" borderId="55" xfId="0" applyFont="1" applyFill="1" applyBorder="1" applyAlignment="1">
      <alignment horizontal="center"/>
    </xf>
    <xf numFmtId="0" fontId="26" fillId="0" borderId="21" xfId="0" applyFont="1" applyBorder="1" applyAlignment="1">
      <alignment horizontal="center"/>
    </xf>
    <xf numFmtId="0" fontId="26" fillId="0" borderId="85" xfId="0" applyFont="1" applyFill="1" applyBorder="1" applyAlignment="1">
      <alignment horizontal="center"/>
    </xf>
    <xf numFmtId="0" fontId="26" fillId="0" borderId="85" xfId="0" applyFont="1" applyBorder="1" applyAlignment="1">
      <alignment horizontal="center"/>
    </xf>
    <xf numFmtId="0" fontId="26" fillId="0" borderId="57" xfId="0" applyFont="1" applyFill="1" applyBorder="1" applyAlignment="1">
      <alignment horizontal="center"/>
    </xf>
    <xf numFmtId="0" fontId="26" fillId="0" borderId="3" xfId="0" applyFont="1" applyBorder="1" applyAlignment="1">
      <alignment horizontal="center"/>
    </xf>
    <xf numFmtId="0" fontId="26" fillId="0" borderId="57" xfId="0" applyFont="1" applyBorder="1" applyAlignment="1">
      <alignment horizontal="center"/>
    </xf>
    <xf numFmtId="0" fontId="28" fillId="0" borderId="29" xfId="0" applyFont="1" applyFill="1" applyBorder="1" applyAlignment="1">
      <alignment horizontal="center"/>
    </xf>
    <xf numFmtId="171" fontId="26" fillId="0" borderId="35" xfId="5" applyNumberFormat="1" applyFont="1" applyFill="1" applyBorder="1" applyAlignment="1">
      <alignment horizontal="center"/>
    </xf>
    <xf numFmtId="172" fontId="26" fillId="0" borderId="35" xfId="5" applyNumberFormat="1" applyFont="1" applyFill="1" applyBorder="1" applyAlignment="1">
      <alignment horizontal="center"/>
    </xf>
    <xf numFmtId="169" fontId="26" fillId="0" borderId="35" xfId="5" applyNumberFormat="1" applyFont="1" applyFill="1" applyBorder="1" applyAlignment="1">
      <alignment horizontal="center"/>
    </xf>
    <xf numFmtId="171" fontId="26" fillId="0" borderId="85" xfId="5" applyNumberFormat="1" applyFont="1" applyFill="1" applyBorder="1" applyAlignment="1">
      <alignment horizontal="center"/>
    </xf>
    <xf numFmtId="172" fontId="26" fillId="0" borderId="85" xfId="5" applyNumberFormat="1" applyFont="1" applyFill="1" applyBorder="1" applyAlignment="1">
      <alignment horizontal="center"/>
    </xf>
    <xf numFmtId="169" fontId="26" fillId="0" borderId="85" xfId="5" applyNumberFormat="1" applyFont="1" applyFill="1" applyBorder="1" applyAlignment="1">
      <alignment horizontal="center"/>
    </xf>
    <xf numFmtId="0" fontId="28" fillId="0" borderId="57" xfId="0" applyFont="1" applyFill="1" applyBorder="1" applyAlignment="1">
      <alignment horizontal="center"/>
    </xf>
    <xf numFmtId="169" fontId="26" fillId="0" borderId="57" xfId="5" applyNumberFormat="1" applyFont="1" applyFill="1" applyBorder="1" applyAlignment="1">
      <alignment horizontal="center"/>
    </xf>
    <xf numFmtId="0" fontId="0" fillId="0" borderId="89" xfId="0" applyBorder="1"/>
    <xf numFmtId="169" fontId="26" fillId="20" borderId="88" xfId="0" applyNumberFormat="1" applyFont="1" applyFill="1" applyBorder="1" applyAlignment="1">
      <alignment horizontal="right" wrapText="1"/>
    </xf>
    <xf numFmtId="173" fontId="52" fillId="13" borderId="88" xfId="8" applyNumberFormat="1" applyFont="1" applyFill="1" applyBorder="1" applyAlignment="1">
      <alignment vertical="center"/>
    </xf>
    <xf numFmtId="173" fontId="26" fillId="0" borderId="90" xfId="0" applyNumberFormat="1" applyFont="1" applyBorder="1"/>
    <xf numFmtId="0" fontId="22" fillId="21" borderId="1" xfId="0" applyNumberFormat="1" applyFont="1" applyFill="1" applyBorder="1" applyAlignment="1">
      <alignment horizontal="center"/>
    </xf>
    <xf numFmtId="173" fontId="0" fillId="0" borderId="0" xfId="0" applyNumberFormat="1"/>
    <xf numFmtId="17" fontId="3" fillId="22" borderId="14" xfId="6" applyNumberFormat="1" applyFill="1" applyBorder="1" applyAlignment="1">
      <alignment horizontal="center"/>
    </xf>
    <xf numFmtId="1" fontId="0" fillId="0" borderId="0" xfId="0" applyNumberFormat="1" applyBorder="1"/>
    <xf numFmtId="0" fontId="29" fillId="0" borderId="0" xfId="0" applyFont="1" applyBorder="1" applyAlignment="1">
      <alignment horizontal="right"/>
    </xf>
    <xf numFmtId="0" fontId="0" fillId="0" borderId="0" xfId="0"/>
    <xf numFmtId="173" fontId="29" fillId="0" borderId="77" xfId="0" applyNumberFormat="1" applyFont="1" applyFill="1" applyBorder="1"/>
    <xf numFmtId="0" fontId="0" fillId="0" borderId="3" xfId="0" applyBorder="1"/>
    <xf numFmtId="0" fontId="26" fillId="0" borderId="4" xfId="0" applyFont="1" applyBorder="1" applyAlignment="1">
      <alignment horizontal="right"/>
    </xf>
    <xf numFmtId="0" fontId="0" fillId="0" borderId="0" xfId="0" applyFont="1" applyProtection="1"/>
    <xf numFmtId="0" fontId="0" fillId="0" borderId="57" xfId="0" applyFill="1" applyBorder="1" applyAlignment="1">
      <alignment horizontal="left"/>
    </xf>
    <xf numFmtId="0" fontId="0" fillId="0" borderId="30" xfId="0" applyFill="1" applyBorder="1" applyAlignment="1">
      <alignment wrapText="1"/>
    </xf>
    <xf numFmtId="0" fontId="25" fillId="0" borderId="0" xfId="0" applyFont="1" applyAlignment="1" applyProtection="1">
      <alignment wrapText="1"/>
    </xf>
    <xf numFmtId="0" fontId="25" fillId="0" borderId="0" xfId="0" applyFont="1" applyAlignment="1" applyProtection="1">
      <alignment horizontal="center"/>
    </xf>
    <xf numFmtId="0" fontId="13" fillId="0" borderId="0" xfId="0" applyFont="1" applyAlignment="1" applyProtection="1">
      <alignment horizontal="left" vertical="center"/>
    </xf>
    <xf numFmtId="0" fontId="9" fillId="0" borderId="0" xfId="0" applyFont="1" applyFill="1" applyBorder="1" applyAlignment="1" applyProtection="1">
      <alignment horizontal="center" vertical="center" wrapText="1"/>
    </xf>
    <xf numFmtId="0" fontId="54" fillId="0" borderId="0" xfId="0" applyFont="1" applyAlignment="1">
      <alignment horizontal="center" vertical="center"/>
    </xf>
    <xf numFmtId="0" fontId="30" fillId="12" borderId="44" xfId="0" applyFont="1" applyFill="1" applyBorder="1" applyAlignment="1">
      <alignment horizontal="center"/>
    </xf>
    <xf numFmtId="0" fontId="30" fillId="12" borderId="45" xfId="0" applyFont="1" applyFill="1" applyBorder="1" applyAlignment="1">
      <alignment horizontal="center"/>
    </xf>
    <xf numFmtId="0" fontId="30" fillId="12" borderId="46" xfId="0" applyFont="1" applyFill="1" applyBorder="1" applyAlignment="1">
      <alignment horizontal="center"/>
    </xf>
    <xf numFmtId="0" fontId="47" fillId="20" borderId="8" xfId="0" applyFont="1" applyFill="1" applyBorder="1" applyAlignment="1">
      <alignment horizontal="center" vertical="center" wrapText="1"/>
    </xf>
    <xf numFmtId="0" fontId="47" fillId="20" borderId="9" xfId="0" applyFont="1" applyFill="1" applyBorder="1" applyAlignment="1">
      <alignment horizontal="center" vertical="center" wrapText="1"/>
    </xf>
    <xf numFmtId="0" fontId="28" fillId="20" borderId="56" xfId="1" applyNumberFormat="1" applyFont="1" applyFill="1" applyBorder="1" applyAlignment="1" applyProtection="1">
      <alignment vertical="center"/>
      <protection locked="0"/>
    </xf>
    <xf numFmtId="0" fontId="28" fillId="20" borderId="3" xfId="1" applyNumberFormat="1" applyFont="1" applyFill="1" applyBorder="1" applyAlignment="1" applyProtection="1">
      <alignment vertical="center"/>
      <protection locked="0"/>
    </xf>
    <xf numFmtId="0" fontId="28" fillId="20" borderId="71" xfId="1" applyNumberFormat="1" applyFont="1" applyFill="1" applyBorder="1" applyAlignment="1" applyProtection="1">
      <alignment vertical="center"/>
      <protection locked="0"/>
    </xf>
    <xf numFmtId="0" fontId="28" fillId="20" borderId="72" xfId="1" applyNumberFormat="1" applyFont="1" applyFill="1" applyBorder="1" applyAlignment="1" applyProtection="1">
      <alignment vertical="center"/>
      <protection locked="0"/>
    </xf>
    <xf numFmtId="0" fontId="28" fillId="20" borderId="70" xfId="1" applyNumberFormat="1" applyFont="1" applyFill="1" applyBorder="1" applyAlignment="1" applyProtection="1">
      <alignment vertical="center"/>
      <protection locked="0"/>
    </xf>
    <xf numFmtId="0" fontId="28" fillId="20" borderId="0" xfId="1" applyNumberFormat="1" applyFont="1" applyFill="1" applyBorder="1" applyAlignment="1" applyProtection="1">
      <alignment vertical="center"/>
      <protection locked="0"/>
    </xf>
    <xf numFmtId="0" fontId="28" fillId="20" borderId="22" xfId="1" applyNumberFormat="1" applyFont="1" applyFill="1" applyBorder="1" applyAlignment="1" applyProtection="1">
      <alignment vertical="center"/>
      <protection locked="0"/>
    </xf>
    <xf numFmtId="0" fontId="28" fillId="20" borderId="55" xfId="1" applyNumberFormat="1" applyFont="1" applyFill="1" applyBorder="1" applyAlignment="1" applyProtection="1">
      <alignment vertical="center"/>
      <protection locked="0"/>
    </xf>
    <xf numFmtId="0" fontId="29" fillId="20" borderId="8" xfId="0" applyFont="1" applyFill="1" applyBorder="1" applyAlignment="1">
      <alignment horizontal="center" wrapText="1"/>
    </xf>
    <xf numFmtId="0" fontId="29" fillId="20" borderId="2" xfId="0" applyFont="1" applyFill="1" applyBorder="1" applyAlignment="1">
      <alignment horizontal="center" wrapText="1"/>
    </xf>
    <xf numFmtId="0" fontId="29" fillId="20" borderId="9" xfId="0" applyFont="1" applyFill="1" applyBorder="1" applyAlignment="1">
      <alignment horizontal="center" wrapText="1"/>
    </xf>
    <xf numFmtId="0" fontId="28" fillId="20" borderId="53" xfId="1" applyNumberFormat="1" applyFont="1" applyFill="1" applyBorder="1" applyAlignment="1" applyProtection="1">
      <alignment vertical="center"/>
      <protection locked="0"/>
    </xf>
    <xf numFmtId="0" fontId="28" fillId="20" borderId="75" xfId="1" applyNumberFormat="1" applyFont="1" applyFill="1" applyBorder="1" applyAlignment="1" applyProtection="1">
      <alignment vertical="center"/>
      <protection locked="0"/>
    </xf>
    <xf numFmtId="0" fontId="28" fillId="20" borderId="11" xfId="1" applyNumberFormat="1" applyFont="1" applyFill="1" applyBorder="1" applyAlignment="1" applyProtection="1">
      <alignment vertical="center"/>
      <protection locked="0"/>
    </xf>
    <xf numFmtId="0" fontId="25" fillId="15" borderId="8" xfId="0" applyFont="1" applyFill="1" applyBorder="1" applyAlignment="1" applyProtection="1">
      <alignment horizontal="left"/>
    </xf>
    <xf numFmtId="0" fontId="25" fillId="15" borderId="2" xfId="0" applyFont="1" applyFill="1" applyBorder="1" applyAlignment="1" applyProtection="1">
      <alignment horizontal="left"/>
    </xf>
    <xf numFmtId="0" fontId="25" fillId="15" borderId="9" xfId="0" applyFont="1" applyFill="1" applyBorder="1" applyAlignment="1" applyProtection="1">
      <alignment horizontal="left"/>
    </xf>
    <xf numFmtId="0" fontId="7" fillId="0" borderId="2" xfId="0" applyFont="1" applyBorder="1" applyAlignment="1" applyProtection="1">
      <alignment horizontal="center"/>
    </xf>
    <xf numFmtId="0" fontId="0" fillId="0" borderId="8" xfId="0" applyBorder="1" applyAlignment="1">
      <alignment horizontal="center"/>
    </xf>
    <xf numFmtId="0" fontId="0" fillId="0" borderId="2" xfId="0" applyBorder="1" applyAlignment="1">
      <alignment horizontal="center"/>
    </xf>
    <xf numFmtId="0" fontId="0" fillId="0" borderId="9" xfId="0" applyBorder="1" applyAlignment="1">
      <alignment horizontal="center"/>
    </xf>
    <xf numFmtId="0" fontId="25" fillId="2" borderId="8" xfId="0" applyFont="1" applyFill="1" applyBorder="1" applyAlignment="1">
      <alignment horizontal="center"/>
    </xf>
    <xf numFmtId="0" fontId="25" fillId="2" borderId="2" xfId="0" applyFont="1" applyFill="1" applyBorder="1" applyAlignment="1">
      <alignment horizontal="center"/>
    </xf>
    <xf numFmtId="0" fontId="25" fillId="2" borderId="9" xfId="0" applyFont="1" applyFill="1" applyBorder="1" applyAlignment="1">
      <alignment horizontal="center"/>
    </xf>
    <xf numFmtId="0" fontId="9" fillId="4" borderId="1" xfId="0" applyFont="1" applyFill="1" applyBorder="1" applyAlignment="1" applyProtection="1">
      <alignment horizontal="center" vertical="center" wrapText="1"/>
      <protection locked="0"/>
    </xf>
  </cellXfs>
  <cellStyles count="11">
    <cellStyle name="20 % - Accent3" xfId="5" builtinId="38"/>
    <cellStyle name="20 % - Accent4" xfId="6" builtinId="42"/>
    <cellStyle name="Accent6" xfId="7" builtinId="49"/>
    <cellStyle name="Lien hypertexte" xfId="4" builtinId="8"/>
    <cellStyle name="Milliers 2" xfId="2" xr:uid="{00000000-0005-0000-0000-000004000000}"/>
    <cellStyle name="Milliers 2 2" xfId="10" xr:uid="{00000000-0005-0000-0000-000005000000}"/>
    <cellStyle name="Neutre" xfId="9" builtinId="28"/>
    <cellStyle name="Normal" xfId="0" builtinId="0"/>
    <cellStyle name="Normal 2" xfId="1" xr:uid="{00000000-0005-0000-0000-000008000000}"/>
    <cellStyle name="Normal 3" xfId="3" xr:uid="{00000000-0005-0000-0000-000009000000}"/>
    <cellStyle name="Satisfaisant" xfId="8" builtinId="26"/>
  </cellStyles>
  <dxfs count="0"/>
  <tableStyles count="0" defaultTableStyle="TableStyleMedium2" defaultPivotStyle="PivotStyleLight16"/>
  <colors>
    <mruColors>
      <color rgb="FFF7EAE9"/>
      <color rgb="FF0000FF"/>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698591</xdr:colOff>
      <xdr:row>21</xdr:row>
      <xdr:rowOff>139065</xdr:rowOff>
    </xdr:from>
    <xdr:to>
      <xdr:col>10</xdr:col>
      <xdr:colOff>650966</xdr:colOff>
      <xdr:row>23</xdr:row>
      <xdr:rowOff>0</xdr:rowOff>
    </xdr:to>
    <xdr:sp macro="" textlink="">
      <xdr:nvSpPr>
        <xdr:cNvPr id="2" name="Flèche droite 1">
          <a:extLst>
            <a:ext uri="{FF2B5EF4-FFF2-40B4-BE49-F238E27FC236}">
              <a16:creationId xmlns:a16="http://schemas.microsoft.com/office/drawing/2014/main" id="{00000000-0008-0000-0000-000002000000}"/>
            </a:ext>
          </a:extLst>
        </xdr:cNvPr>
        <xdr:cNvSpPr/>
      </xdr:nvSpPr>
      <xdr:spPr>
        <a:xfrm>
          <a:off x="7305131" y="4368165"/>
          <a:ext cx="1598295" cy="234315"/>
        </a:xfrm>
        <a:prstGeom prst="rightArrow">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endParaRPr lang="fr-CH" sz="1100"/>
        </a:p>
      </xdr:txBody>
    </xdr:sp>
    <xdr:clientData/>
  </xdr:twoCellAnchor>
  <xdr:twoCellAnchor>
    <xdr:from>
      <xdr:col>13</xdr:col>
      <xdr:colOff>388621</xdr:colOff>
      <xdr:row>18</xdr:row>
      <xdr:rowOff>76200</xdr:rowOff>
    </xdr:from>
    <xdr:to>
      <xdr:col>20</xdr:col>
      <xdr:colOff>754381</xdr:colOff>
      <xdr:row>23</xdr:row>
      <xdr:rowOff>108857</xdr:rowOff>
    </xdr:to>
    <xdr:sp macro="" textlink="">
      <xdr:nvSpPr>
        <xdr:cNvPr id="3" name="ZoneTexte 2">
          <a:extLst>
            <a:ext uri="{FF2B5EF4-FFF2-40B4-BE49-F238E27FC236}">
              <a16:creationId xmlns:a16="http://schemas.microsoft.com/office/drawing/2014/main" id="{00000000-0008-0000-0000-000003000000}"/>
            </a:ext>
          </a:extLst>
        </xdr:cNvPr>
        <xdr:cNvSpPr txBox="1"/>
      </xdr:nvSpPr>
      <xdr:spPr>
        <a:xfrm>
          <a:off x="11148061" y="3733800"/>
          <a:ext cx="5974080" cy="977537"/>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fr-CH" sz="1000" b="1" u="sng">
              <a:solidFill>
                <a:srgbClr val="FF0000"/>
              </a:solidFill>
            </a:rPr>
            <a:t>ATTENTION</a:t>
          </a:r>
          <a:r>
            <a:rPr lang="fr-CH" sz="1000"/>
            <a:t>:</a:t>
          </a:r>
        </a:p>
        <a:p>
          <a:pPr algn="just"/>
          <a:endParaRPr lang="fr-CH" sz="500"/>
        </a:p>
        <a:p>
          <a:pPr algn="just"/>
          <a:r>
            <a:rPr lang="fr-CH" sz="900"/>
            <a:t>Pour les déchets végétaux (contrairement aux autres déchets qui sont plus ou moins stables dans le temps), l'évolution au cours d'une année est très variable. On peut observer un pic de production entre les mois de mai et août.</a:t>
          </a:r>
        </a:p>
        <a:p>
          <a:pPr algn="just"/>
          <a:endParaRPr lang="fr-CH" sz="500"/>
        </a:p>
        <a:p>
          <a:pPr algn="just"/>
          <a:r>
            <a:rPr lang="fr-CH" sz="900"/>
            <a:t>Pour éviter tout débordement en été, on a pris comme base de dimensionnement les 4 mois cités que l'on a ensuite multiplié par 3 pour obtenir un équivalent annuel!!!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458143</xdr:colOff>
      <xdr:row>33</xdr:row>
      <xdr:rowOff>38100</xdr:rowOff>
    </xdr:from>
    <xdr:to>
      <xdr:col>15</xdr:col>
      <xdr:colOff>314325</xdr:colOff>
      <xdr:row>38</xdr:row>
      <xdr:rowOff>57151</xdr:rowOff>
    </xdr:to>
    <xdr:sp macro="" textlink="">
      <xdr:nvSpPr>
        <xdr:cNvPr id="5" name="ZoneTexte 4">
          <a:extLst>
            <a:ext uri="{FF2B5EF4-FFF2-40B4-BE49-F238E27FC236}">
              <a16:creationId xmlns:a16="http://schemas.microsoft.com/office/drawing/2014/main" id="{00000000-0008-0000-0100-000005000000}"/>
            </a:ext>
          </a:extLst>
        </xdr:cNvPr>
        <xdr:cNvSpPr txBox="1"/>
      </xdr:nvSpPr>
      <xdr:spPr>
        <a:xfrm>
          <a:off x="6801793" y="8277225"/>
          <a:ext cx="6704657" cy="1219201"/>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CH" sz="900">
              <a:sym typeface="Wingdings 3"/>
            </a:rPr>
            <a:t>Résumé du</a:t>
          </a:r>
          <a:r>
            <a:rPr lang="fr-CH" sz="900" baseline="0">
              <a:sym typeface="Wingdings 3"/>
            </a:rPr>
            <a:t> </a:t>
          </a:r>
          <a:r>
            <a:rPr lang="fr-CH" sz="900">
              <a:sym typeface="Wingdings 3"/>
            </a:rPr>
            <a:t>calcul</a:t>
          </a:r>
          <a:r>
            <a:rPr lang="fr-CH" sz="900" baseline="0">
              <a:sym typeface="Wingdings 3"/>
            </a:rPr>
            <a:t> de surface</a:t>
          </a:r>
        </a:p>
        <a:p>
          <a:r>
            <a:rPr lang="fr-CH" sz="900">
              <a:sym typeface="Wingdings 3"/>
            </a:rPr>
            <a:t>-</a:t>
          </a:r>
          <a:r>
            <a:rPr lang="fr-CH" sz="900" baseline="0">
              <a:sym typeface="Wingdings 3"/>
            </a:rPr>
            <a:t> </a:t>
          </a:r>
          <a:r>
            <a:rPr lang="fr-CH" sz="900"/>
            <a:t>Pour les conteneurs en</a:t>
          </a:r>
          <a:r>
            <a:rPr lang="fr-CH" sz="900" baseline="0"/>
            <a:t> surface</a:t>
          </a:r>
          <a:r>
            <a:rPr lang="fr-CH" sz="900"/>
            <a:t>, la surface nécessaire est le double de l'emprise au sol</a:t>
          </a:r>
          <a:r>
            <a:rPr lang="fr-CH" sz="900" baseline="0"/>
            <a:t> (soit 1m2 pour les  360 l et 2m2 pour les 770 l)</a:t>
          </a:r>
        </a:p>
        <a:p>
          <a:r>
            <a:rPr lang="fr-CH" sz="900" i="1" baseline="0"/>
            <a:t>http://ge.ch/dechets/media/dechets/files/fichiers/documents/Publications/fiche_3-equipement_des_immeubles_neufs_selon_le_ralci.pdf</a:t>
          </a:r>
        </a:p>
        <a:p>
          <a:r>
            <a:rPr lang="fr-CH" sz="900" baseline="0">
              <a:solidFill>
                <a:schemeClr val="dk1"/>
              </a:solidFill>
              <a:effectLst/>
              <a:latin typeface="+mn-lt"/>
              <a:ea typeface="+mn-ea"/>
              <a:cs typeface="+mn-cs"/>
              <a:sym typeface="Wingdings 3"/>
            </a:rPr>
            <a:t>- </a:t>
          </a:r>
          <a:r>
            <a:rPr lang="fr-CH" sz="900" baseline="0"/>
            <a:t>Pour les conteneurs enterrés, l'emprise de la cuve est de 2m x 2m (identique pour des 3000 ou des 5000, c'est la profondeur qui change  et on creuse en prévision une fosse plus profonde pour une cuve de 5000 même si on met de cuve de 3000). Une bordure de 50 cm doit être prise autour des cuves (BVz, 01.2018). La variante 2 est utilisée pour le calcul de la surface nécessaire (voir ci-dessous)</a:t>
          </a:r>
        </a:p>
        <a:p>
          <a:r>
            <a:rPr lang="fr-CH" sz="900" baseline="0"/>
            <a:t>- Surface finale majorée de 10% par sécurité</a:t>
          </a:r>
        </a:p>
      </xdr:txBody>
    </xdr:sp>
    <xdr:clientData/>
  </xdr:twoCellAnchor>
  <xdr:twoCellAnchor>
    <xdr:from>
      <xdr:col>8</xdr:col>
      <xdr:colOff>1347787</xdr:colOff>
      <xdr:row>40</xdr:row>
      <xdr:rowOff>166686</xdr:rowOff>
    </xdr:from>
    <xdr:to>
      <xdr:col>13</xdr:col>
      <xdr:colOff>312422</xdr:colOff>
      <xdr:row>42</xdr:row>
      <xdr:rowOff>173566</xdr:rowOff>
    </xdr:to>
    <xdr:sp macro="" textlink="">
      <xdr:nvSpPr>
        <xdr:cNvPr id="11" name="ZoneTexte 10">
          <a:extLst>
            <a:ext uri="{FF2B5EF4-FFF2-40B4-BE49-F238E27FC236}">
              <a16:creationId xmlns:a16="http://schemas.microsoft.com/office/drawing/2014/main" id="{00000000-0008-0000-0100-00000B000000}"/>
            </a:ext>
          </a:extLst>
        </xdr:cNvPr>
        <xdr:cNvSpPr txBox="1"/>
      </xdr:nvSpPr>
      <xdr:spPr>
        <a:xfrm>
          <a:off x="8866187" y="10140419"/>
          <a:ext cx="3324968" cy="387880"/>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H" sz="900"/>
            <a:t>Variante 2 : cuves alignées et collées avec bordure unique (possible</a:t>
          </a:r>
          <a:r>
            <a:rPr lang="fr-CH" sz="900" baseline="0"/>
            <a:t> de coller les cuves seulement si le terrain est au même niveau)</a:t>
          </a:r>
          <a:endParaRPr lang="fr-CH" sz="900"/>
        </a:p>
      </xdr:txBody>
    </xdr:sp>
    <xdr:clientData/>
  </xdr:twoCellAnchor>
  <xdr:twoCellAnchor>
    <xdr:from>
      <xdr:col>8</xdr:col>
      <xdr:colOff>1343765</xdr:colOff>
      <xdr:row>38</xdr:row>
      <xdr:rowOff>273895</xdr:rowOff>
    </xdr:from>
    <xdr:to>
      <xdr:col>12</xdr:col>
      <xdr:colOff>224368</xdr:colOff>
      <xdr:row>39</xdr:row>
      <xdr:rowOff>341206</xdr:rowOff>
    </xdr:to>
    <xdr:sp macro="" textlink="">
      <xdr:nvSpPr>
        <xdr:cNvPr id="15" name="ZoneTexte 14">
          <a:extLst>
            <a:ext uri="{FF2B5EF4-FFF2-40B4-BE49-F238E27FC236}">
              <a16:creationId xmlns:a16="http://schemas.microsoft.com/office/drawing/2014/main" id="{00000000-0008-0000-0100-00000F000000}"/>
            </a:ext>
          </a:extLst>
        </xdr:cNvPr>
        <xdr:cNvSpPr txBox="1"/>
      </xdr:nvSpPr>
      <xdr:spPr>
        <a:xfrm>
          <a:off x="8862165" y="9553362"/>
          <a:ext cx="2690603" cy="414444"/>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H" sz="900"/>
            <a:t>Variante 1 : cuves alignées avec bordure</a:t>
          </a:r>
          <a:r>
            <a:rPr lang="fr-CH" sz="900" baseline="0"/>
            <a:t> individuelle </a:t>
          </a:r>
        </a:p>
        <a:p>
          <a:r>
            <a:rPr lang="fr-CH" sz="900" baseline="0"/>
            <a:t>Surface au sol maximale</a:t>
          </a:r>
          <a:endParaRPr lang="fr-CH" sz="900"/>
        </a:p>
      </xdr:txBody>
    </xdr:sp>
    <xdr:clientData/>
  </xdr:twoCellAnchor>
  <xdr:twoCellAnchor>
    <xdr:from>
      <xdr:col>9</xdr:col>
      <xdr:colOff>3</xdr:colOff>
      <xdr:row>43</xdr:row>
      <xdr:rowOff>129515</xdr:rowOff>
    </xdr:from>
    <xdr:to>
      <xdr:col>14</xdr:col>
      <xdr:colOff>164153</xdr:colOff>
      <xdr:row>45</xdr:row>
      <xdr:rowOff>287868</xdr:rowOff>
    </xdr:to>
    <xdr:sp macro="" textlink="">
      <xdr:nvSpPr>
        <xdr:cNvPr id="20" name="ZoneTexte 19">
          <a:extLst>
            <a:ext uri="{FF2B5EF4-FFF2-40B4-BE49-F238E27FC236}">
              <a16:creationId xmlns:a16="http://schemas.microsoft.com/office/drawing/2014/main" id="{00000000-0008-0000-0100-000014000000}"/>
            </a:ext>
          </a:extLst>
        </xdr:cNvPr>
        <xdr:cNvSpPr txBox="1"/>
      </xdr:nvSpPr>
      <xdr:spPr>
        <a:xfrm>
          <a:off x="8898470" y="10670515"/>
          <a:ext cx="3813283" cy="530886"/>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H" sz="900"/>
            <a:t>Variante 3 : cuves groupées avec bordure unique (possible</a:t>
          </a:r>
          <a:r>
            <a:rPr lang="fr-CH" sz="900" baseline="0"/>
            <a:t> de coller les cuves seulement si le terrain est au même niveau)</a:t>
          </a:r>
        </a:p>
        <a:p>
          <a:r>
            <a:rPr lang="fr-CH" sz="900" baseline="0"/>
            <a:t>Surface au sol minimale</a:t>
          </a:r>
          <a:endParaRPr lang="fr-CH" sz="900"/>
        </a:p>
      </xdr:txBody>
    </xdr:sp>
    <xdr:clientData/>
  </xdr:twoCellAnchor>
  <xdr:twoCellAnchor>
    <xdr:from>
      <xdr:col>7</xdr:col>
      <xdr:colOff>842645</xdr:colOff>
      <xdr:row>38</xdr:row>
      <xdr:rowOff>230504</xdr:rowOff>
    </xdr:from>
    <xdr:to>
      <xdr:col>8</xdr:col>
      <xdr:colOff>1261533</xdr:colOff>
      <xdr:row>46</xdr:row>
      <xdr:rowOff>33867</xdr:rowOff>
    </xdr:to>
    <xdr:grpSp>
      <xdr:nvGrpSpPr>
        <xdr:cNvPr id="28" name="Groupe 27">
          <a:extLst>
            <a:ext uri="{FF2B5EF4-FFF2-40B4-BE49-F238E27FC236}">
              <a16:creationId xmlns:a16="http://schemas.microsoft.com/office/drawing/2014/main" id="{00000000-0008-0000-0100-00001C000000}"/>
            </a:ext>
          </a:extLst>
        </xdr:cNvPr>
        <xdr:cNvGrpSpPr/>
      </xdr:nvGrpSpPr>
      <xdr:grpSpPr>
        <a:xfrm>
          <a:off x="7186295" y="9669779"/>
          <a:ext cx="1647613" cy="1717888"/>
          <a:chOff x="5634777" y="9704704"/>
          <a:chExt cx="1646555" cy="1960671"/>
        </a:xfrm>
      </xdr:grpSpPr>
      <xdr:grpSp>
        <xdr:nvGrpSpPr>
          <xdr:cNvPr id="27" name="Groupe 26">
            <a:extLst>
              <a:ext uri="{FF2B5EF4-FFF2-40B4-BE49-F238E27FC236}">
                <a16:creationId xmlns:a16="http://schemas.microsoft.com/office/drawing/2014/main" id="{00000000-0008-0000-0100-00001B000000}"/>
              </a:ext>
            </a:extLst>
          </xdr:cNvPr>
          <xdr:cNvGrpSpPr/>
        </xdr:nvGrpSpPr>
        <xdr:grpSpPr>
          <a:xfrm>
            <a:off x="6455198" y="10898505"/>
            <a:ext cx="760395" cy="766870"/>
            <a:chOff x="6429798" y="11296438"/>
            <a:chExt cx="760395" cy="766870"/>
          </a:xfrm>
        </xdr:grpSpPr>
        <xdr:sp macro="" textlink="">
          <xdr:nvSpPr>
            <xdr:cNvPr id="2" name="Rectangle 1">
              <a:extLst>
                <a:ext uri="{FF2B5EF4-FFF2-40B4-BE49-F238E27FC236}">
                  <a16:creationId xmlns:a16="http://schemas.microsoft.com/office/drawing/2014/main" id="{00000000-0008-0000-0100-000002000000}"/>
                </a:ext>
              </a:extLst>
            </xdr:cNvPr>
            <xdr:cNvSpPr/>
          </xdr:nvSpPr>
          <xdr:spPr>
            <a:xfrm>
              <a:off x="6429798" y="11296438"/>
              <a:ext cx="760395" cy="766870"/>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p>
          </xdr:txBody>
        </xdr:sp>
        <xdr:sp macro="" textlink="">
          <xdr:nvSpPr>
            <xdr:cNvPr id="16" name="Rectangle 15">
              <a:extLst>
                <a:ext uri="{FF2B5EF4-FFF2-40B4-BE49-F238E27FC236}">
                  <a16:creationId xmlns:a16="http://schemas.microsoft.com/office/drawing/2014/main" id="{00000000-0008-0000-0100-000010000000}"/>
                </a:ext>
              </a:extLst>
            </xdr:cNvPr>
            <xdr:cNvSpPr/>
          </xdr:nvSpPr>
          <xdr:spPr>
            <a:xfrm>
              <a:off x="6496473" y="11371388"/>
              <a:ext cx="297650" cy="304788"/>
            </a:xfrm>
            <a:prstGeom prst="rect">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p>
          </xdr:txBody>
        </xdr:sp>
        <xdr:sp macro="" textlink="">
          <xdr:nvSpPr>
            <xdr:cNvPr id="17" name="Rectangle 16">
              <a:extLst>
                <a:ext uri="{FF2B5EF4-FFF2-40B4-BE49-F238E27FC236}">
                  <a16:creationId xmlns:a16="http://schemas.microsoft.com/office/drawing/2014/main" id="{00000000-0008-0000-0100-000011000000}"/>
                </a:ext>
              </a:extLst>
            </xdr:cNvPr>
            <xdr:cNvSpPr/>
          </xdr:nvSpPr>
          <xdr:spPr>
            <a:xfrm>
              <a:off x="6807992" y="11370733"/>
              <a:ext cx="273454" cy="308374"/>
            </a:xfrm>
            <a:prstGeom prst="rect">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p>
          </xdr:txBody>
        </xdr:sp>
        <xdr:sp macro="" textlink="">
          <xdr:nvSpPr>
            <xdr:cNvPr id="18" name="Rectangle 17">
              <a:extLst>
                <a:ext uri="{FF2B5EF4-FFF2-40B4-BE49-F238E27FC236}">
                  <a16:creationId xmlns:a16="http://schemas.microsoft.com/office/drawing/2014/main" id="{00000000-0008-0000-0100-000012000000}"/>
                </a:ext>
              </a:extLst>
            </xdr:cNvPr>
            <xdr:cNvSpPr/>
          </xdr:nvSpPr>
          <xdr:spPr>
            <a:xfrm>
              <a:off x="6496473" y="11691428"/>
              <a:ext cx="297650" cy="292935"/>
            </a:xfrm>
            <a:prstGeom prst="rect">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p>
          </xdr:txBody>
        </xdr:sp>
        <xdr:sp macro="" textlink="">
          <xdr:nvSpPr>
            <xdr:cNvPr id="19" name="Rectangle 18">
              <a:extLst>
                <a:ext uri="{FF2B5EF4-FFF2-40B4-BE49-F238E27FC236}">
                  <a16:creationId xmlns:a16="http://schemas.microsoft.com/office/drawing/2014/main" id="{00000000-0008-0000-0100-000013000000}"/>
                </a:ext>
              </a:extLst>
            </xdr:cNvPr>
            <xdr:cNvSpPr/>
          </xdr:nvSpPr>
          <xdr:spPr>
            <a:xfrm>
              <a:off x="6807992" y="11690773"/>
              <a:ext cx="274624" cy="292935"/>
            </a:xfrm>
            <a:prstGeom prst="rect">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p>
          </xdr:txBody>
        </xdr:sp>
      </xdr:grpSp>
      <xdr:grpSp>
        <xdr:nvGrpSpPr>
          <xdr:cNvPr id="26" name="Groupe 25">
            <a:extLst>
              <a:ext uri="{FF2B5EF4-FFF2-40B4-BE49-F238E27FC236}">
                <a16:creationId xmlns:a16="http://schemas.microsoft.com/office/drawing/2014/main" id="{00000000-0008-0000-0100-00001A000000}"/>
              </a:ext>
            </a:extLst>
          </xdr:cNvPr>
          <xdr:cNvGrpSpPr/>
        </xdr:nvGrpSpPr>
        <xdr:grpSpPr>
          <a:xfrm>
            <a:off x="5634777" y="9704704"/>
            <a:ext cx="1646555" cy="1056429"/>
            <a:chOff x="5634777" y="9704704"/>
            <a:chExt cx="1646555" cy="1056429"/>
          </a:xfrm>
        </xdr:grpSpPr>
        <xdr:sp macro="" textlink="">
          <xdr:nvSpPr>
            <xdr:cNvPr id="4" name="Rectangle 3">
              <a:extLst>
                <a:ext uri="{FF2B5EF4-FFF2-40B4-BE49-F238E27FC236}">
                  <a16:creationId xmlns:a16="http://schemas.microsoft.com/office/drawing/2014/main" id="{00000000-0008-0000-0100-000004000000}"/>
                </a:ext>
              </a:extLst>
            </xdr:cNvPr>
            <xdr:cNvSpPr/>
          </xdr:nvSpPr>
          <xdr:spPr>
            <a:xfrm>
              <a:off x="6061075" y="10329862"/>
              <a:ext cx="1187450" cy="431271"/>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p>
          </xdr:txBody>
        </xdr:sp>
        <xdr:grpSp>
          <xdr:nvGrpSpPr>
            <xdr:cNvPr id="25" name="Groupe 24">
              <a:extLst>
                <a:ext uri="{FF2B5EF4-FFF2-40B4-BE49-F238E27FC236}">
                  <a16:creationId xmlns:a16="http://schemas.microsoft.com/office/drawing/2014/main" id="{00000000-0008-0000-0100-000019000000}"/>
                </a:ext>
              </a:extLst>
            </xdr:cNvPr>
            <xdr:cNvGrpSpPr/>
          </xdr:nvGrpSpPr>
          <xdr:grpSpPr>
            <a:xfrm>
              <a:off x="5634777" y="9704704"/>
              <a:ext cx="1646555" cy="988721"/>
              <a:chOff x="5634777" y="9704704"/>
              <a:chExt cx="1646555" cy="988721"/>
            </a:xfrm>
          </xdr:grpSpPr>
          <xdr:sp macro="" textlink="">
            <xdr:nvSpPr>
              <xdr:cNvPr id="3" name="Rectangle 2">
                <a:extLst>
                  <a:ext uri="{FF2B5EF4-FFF2-40B4-BE49-F238E27FC236}">
                    <a16:creationId xmlns:a16="http://schemas.microsoft.com/office/drawing/2014/main" id="{00000000-0008-0000-0100-000003000000}"/>
                  </a:ext>
                </a:extLst>
              </xdr:cNvPr>
              <xdr:cNvSpPr/>
            </xdr:nvSpPr>
            <xdr:spPr>
              <a:xfrm>
                <a:off x="5634777" y="9704704"/>
                <a:ext cx="1646555" cy="469688"/>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p>
            </xdr:txBody>
          </xdr:sp>
          <xdr:grpSp>
            <xdr:nvGrpSpPr>
              <xdr:cNvPr id="6" name="Groupe 5">
                <a:extLst>
                  <a:ext uri="{FF2B5EF4-FFF2-40B4-BE49-F238E27FC236}">
                    <a16:creationId xmlns:a16="http://schemas.microsoft.com/office/drawing/2014/main" id="{00000000-0008-0000-0100-000006000000}"/>
                  </a:ext>
                </a:extLst>
              </xdr:cNvPr>
              <xdr:cNvGrpSpPr/>
            </xdr:nvGrpSpPr>
            <xdr:grpSpPr>
              <a:xfrm>
                <a:off x="6155449" y="10401709"/>
                <a:ext cx="1010130" cy="291716"/>
                <a:chOff x="7227709" y="9804363"/>
                <a:chExt cx="1203805" cy="147090"/>
              </a:xfrm>
            </xdr:grpSpPr>
            <xdr:sp macro="" textlink="">
              <xdr:nvSpPr>
                <xdr:cNvPr id="7" name="Rectangle 6">
                  <a:extLst>
                    <a:ext uri="{FF2B5EF4-FFF2-40B4-BE49-F238E27FC236}">
                      <a16:creationId xmlns:a16="http://schemas.microsoft.com/office/drawing/2014/main" id="{00000000-0008-0000-0100-000007000000}"/>
                    </a:ext>
                  </a:extLst>
                </xdr:cNvPr>
                <xdr:cNvSpPr/>
              </xdr:nvSpPr>
              <xdr:spPr>
                <a:xfrm>
                  <a:off x="7227709" y="9805013"/>
                  <a:ext cx="297180" cy="142170"/>
                </a:xfrm>
                <a:prstGeom prst="rect">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p>
              </xdr:txBody>
            </xdr:sp>
            <xdr:sp macro="" textlink="">
              <xdr:nvSpPr>
                <xdr:cNvPr id="8" name="Rectangle 7">
                  <a:extLst>
                    <a:ext uri="{FF2B5EF4-FFF2-40B4-BE49-F238E27FC236}">
                      <a16:creationId xmlns:a16="http://schemas.microsoft.com/office/drawing/2014/main" id="{00000000-0008-0000-0100-000008000000}"/>
                    </a:ext>
                  </a:extLst>
                </xdr:cNvPr>
                <xdr:cNvSpPr/>
              </xdr:nvSpPr>
              <xdr:spPr>
                <a:xfrm>
                  <a:off x="7538736" y="9804363"/>
                  <a:ext cx="297180" cy="147090"/>
                </a:xfrm>
                <a:prstGeom prst="rect">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p>
              </xdr:txBody>
            </xdr:sp>
            <xdr:sp macro="" textlink="">
              <xdr:nvSpPr>
                <xdr:cNvPr id="9" name="Rectangle 8">
                  <a:extLst>
                    <a:ext uri="{FF2B5EF4-FFF2-40B4-BE49-F238E27FC236}">
                      <a16:creationId xmlns:a16="http://schemas.microsoft.com/office/drawing/2014/main" id="{00000000-0008-0000-0100-000009000000}"/>
                    </a:ext>
                  </a:extLst>
                </xdr:cNvPr>
                <xdr:cNvSpPr/>
              </xdr:nvSpPr>
              <xdr:spPr>
                <a:xfrm>
                  <a:off x="7836264" y="9805018"/>
                  <a:ext cx="292910" cy="146435"/>
                </a:xfrm>
                <a:prstGeom prst="rect">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p>
              </xdr:txBody>
            </xdr:sp>
            <xdr:sp macro="" textlink="">
              <xdr:nvSpPr>
                <xdr:cNvPr id="10" name="Rectangle 9">
                  <a:extLst>
                    <a:ext uri="{FF2B5EF4-FFF2-40B4-BE49-F238E27FC236}">
                      <a16:creationId xmlns:a16="http://schemas.microsoft.com/office/drawing/2014/main" id="{00000000-0008-0000-0100-00000A000000}"/>
                    </a:ext>
                  </a:extLst>
                </xdr:cNvPr>
                <xdr:cNvSpPr/>
              </xdr:nvSpPr>
              <xdr:spPr>
                <a:xfrm>
                  <a:off x="8134334" y="9806249"/>
                  <a:ext cx="297180" cy="145204"/>
                </a:xfrm>
                <a:prstGeom prst="rect">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p>
              </xdr:txBody>
            </xdr:sp>
          </xdr:grpSp>
          <xdr:sp macro="" textlink="">
            <xdr:nvSpPr>
              <xdr:cNvPr id="12" name="Rectangle 11">
                <a:extLst>
                  <a:ext uri="{FF2B5EF4-FFF2-40B4-BE49-F238E27FC236}">
                    <a16:creationId xmlns:a16="http://schemas.microsoft.com/office/drawing/2014/main" id="{00000000-0008-0000-0100-00000C000000}"/>
                  </a:ext>
                </a:extLst>
              </xdr:cNvPr>
              <xdr:cNvSpPr/>
            </xdr:nvSpPr>
            <xdr:spPr>
              <a:xfrm>
                <a:off x="5731933" y="9786620"/>
                <a:ext cx="297650" cy="296321"/>
              </a:xfrm>
              <a:prstGeom prst="rect">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p>
            </xdr:txBody>
          </xdr:sp>
          <xdr:sp macro="" textlink="">
            <xdr:nvSpPr>
              <xdr:cNvPr id="13" name="Rectangle 12">
                <a:extLst>
                  <a:ext uri="{FF2B5EF4-FFF2-40B4-BE49-F238E27FC236}">
                    <a16:creationId xmlns:a16="http://schemas.microsoft.com/office/drawing/2014/main" id="{00000000-0008-0000-0100-00000D000000}"/>
                  </a:ext>
                </a:extLst>
              </xdr:cNvPr>
              <xdr:cNvSpPr/>
            </xdr:nvSpPr>
            <xdr:spPr>
              <a:xfrm>
                <a:off x="6488853" y="9794240"/>
                <a:ext cx="297650" cy="296321"/>
              </a:xfrm>
              <a:prstGeom prst="rect">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p>
            </xdr:txBody>
          </xdr:sp>
          <xdr:sp macro="" textlink="">
            <xdr:nvSpPr>
              <xdr:cNvPr id="14" name="Rectangle 13">
                <a:extLst>
                  <a:ext uri="{FF2B5EF4-FFF2-40B4-BE49-F238E27FC236}">
                    <a16:creationId xmlns:a16="http://schemas.microsoft.com/office/drawing/2014/main" id="{00000000-0008-0000-0100-00000E000000}"/>
                  </a:ext>
                </a:extLst>
              </xdr:cNvPr>
              <xdr:cNvSpPr/>
            </xdr:nvSpPr>
            <xdr:spPr>
              <a:xfrm>
                <a:off x="6869853" y="9794240"/>
                <a:ext cx="297650" cy="296321"/>
              </a:xfrm>
              <a:prstGeom prst="rect">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p>
            </xdr:txBody>
          </xdr:sp>
          <xdr:sp macro="" textlink="">
            <xdr:nvSpPr>
              <xdr:cNvPr id="21" name="Rectangle 20">
                <a:extLst>
                  <a:ext uri="{FF2B5EF4-FFF2-40B4-BE49-F238E27FC236}">
                    <a16:creationId xmlns:a16="http://schemas.microsoft.com/office/drawing/2014/main" id="{00000000-0008-0000-0100-000015000000}"/>
                  </a:ext>
                </a:extLst>
              </xdr:cNvPr>
              <xdr:cNvSpPr/>
            </xdr:nvSpPr>
            <xdr:spPr>
              <a:xfrm>
                <a:off x="6090073" y="9794240"/>
                <a:ext cx="300190" cy="296321"/>
              </a:xfrm>
              <a:prstGeom prst="rect">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p>
            </xdr:txBody>
          </xdr:sp>
        </xdr:grpSp>
      </xdr:grpSp>
    </xdr:grpSp>
    <xdr:clientData/>
  </xdr:twoCellAnchor>
  <xdr:twoCellAnchor>
    <xdr:from>
      <xdr:col>1</xdr:col>
      <xdr:colOff>67731</xdr:colOff>
      <xdr:row>0</xdr:row>
      <xdr:rowOff>127001</xdr:rowOff>
    </xdr:from>
    <xdr:to>
      <xdr:col>13</xdr:col>
      <xdr:colOff>381000</xdr:colOff>
      <xdr:row>1</xdr:row>
      <xdr:rowOff>1323976</xdr:rowOff>
    </xdr:to>
    <xdr:sp macro="" textlink="">
      <xdr:nvSpPr>
        <xdr:cNvPr id="22" name="ZoneTexte 21">
          <a:extLst>
            <a:ext uri="{FF2B5EF4-FFF2-40B4-BE49-F238E27FC236}">
              <a16:creationId xmlns:a16="http://schemas.microsoft.com/office/drawing/2014/main" id="{00000000-0008-0000-0100-000016000000}"/>
            </a:ext>
          </a:extLst>
        </xdr:cNvPr>
        <xdr:cNvSpPr txBox="1"/>
      </xdr:nvSpPr>
      <xdr:spPr>
        <a:xfrm>
          <a:off x="658281" y="127001"/>
          <a:ext cx="11590869" cy="137795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H" sz="1100" b="1"/>
            <a:t>CONSIGNES D'UTILISATION</a:t>
          </a:r>
          <a:r>
            <a:rPr lang="fr-CH" sz="1100" b="1" baseline="0"/>
            <a:t> DU FICHIER DE DIMMENSIONNEMENT :</a:t>
          </a:r>
        </a:p>
        <a:p>
          <a:r>
            <a:rPr lang="fr-CH" sz="1100" b="1" baseline="0"/>
            <a:t>1. Mettre à jour si besoin les statistiques déchets dans l'onglet 1.</a:t>
          </a:r>
        </a:p>
        <a:p>
          <a:r>
            <a:rPr lang="fr-CH" sz="1100" b="1" baseline="0"/>
            <a:t>2. Compléter la population de dimensionnement dans l'onglet 3.</a:t>
          </a:r>
        </a:p>
        <a:p>
          <a:r>
            <a:rPr lang="fr-CH" sz="1100" b="1" baseline="0"/>
            <a:t>3. Ajouter si besoin des conteneurs de réserve dans l'onglet 2, sous 'surface nécessaire'</a:t>
          </a:r>
        </a:p>
        <a:p>
          <a:r>
            <a:rPr lang="fr-CH" sz="1100" b="1" baseline="0"/>
            <a:t>3. Pour un aménagement avec conteneurs enterrés, les résultats s'affichent dans l'onglet 2. Pour un aménagement avec conteneurs en surface uniquement les résultats s'affichent dans l'onglet 3. L'onglet 3 est également disponible en ligne (https://www.pully.ch/dechets) pour être complété directement par les habitants.</a:t>
          </a:r>
        </a:p>
        <a:p>
          <a:r>
            <a:rPr lang="fr-CH" sz="1100" b="1" baseline="0"/>
            <a:t>4. Pour un aménagement avec conteneurs enterrés, les résultats peuvent être comparés aux écopoints existants dans l'onglet 4.</a:t>
          </a:r>
        </a:p>
        <a:p>
          <a:endParaRPr lang="fr-CH" sz="1100"/>
        </a:p>
      </xdr:txBody>
    </xdr:sp>
    <xdr:clientData/>
  </xdr:twoCellAnchor>
  <xdr:twoCellAnchor>
    <xdr:from>
      <xdr:col>11</xdr:col>
      <xdr:colOff>25401</xdr:colOff>
      <xdr:row>14</xdr:row>
      <xdr:rowOff>212</xdr:rowOff>
    </xdr:from>
    <xdr:to>
      <xdr:col>17</xdr:col>
      <xdr:colOff>161926</xdr:colOff>
      <xdr:row>20</xdr:row>
      <xdr:rowOff>19049</xdr:rowOff>
    </xdr:to>
    <xdr:sp macro="" textlink="">
      <xdr:nvSpPr>
        <xdr:cNvPr id="23" name="ZoneTexte 22">
          <a:extLst>
            <a:ext uri="{FF2B5EF4-FFF2-40B4-BE49-F238E27FC236}">
              <a16:creationId xmlns:a16="http://schemas.microsoft.com/office/drawing/2014/main" id="{00000000-0008-0000-0100-000017000000}"/>
            </a:ext>
          </a:extLst>
        </xdr:cNvPr>
        <xdr:cNvSpPr txBox="1"/>
      </xdr:nvSpPr>
      <xdr:spPr>
        <a:xfrm>
          <a:off x="10902951" y="4391237"/>
          <a:ext cx="3898900" cy="1123737"/>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lang="fr-CH" sz="900">
              <a:solidFill>
                <a:schemeClr val="dk1"/>
              </a:solidFill>
              <a:latin typeface="+mn-lt"/>
              <a:ea typeface="+mn-ea"/>
              <a:cs typeface="+mn-cs"/>
            </a:rPr>
            <a:t>Résumé du calcul du nombre de conteneurs:</a:t>
          </a:r>
        </a:p>
        <a:p>
          <a:pPr marL="0" indent="0"/>
          <a:r>
            <a:rPr lang="fr-CH" sz="900">
              <a:solidFill>
                <a:schemeClr val="dk1"/>
              </a:solidFill>
              <a:latin typeface="+mn-lt"/>
              <a:ea typeface="+mn-ea"/>
              <a:cs typeface="+mn-cs"/>
            </a:rPr>
            <a:t>- Statistiques Pully kg/an/hab des 3 années précédentes, +20% pour la sécurité</a:t>
          </a:r>
        </a:p>
        <a:p>
          <a:pPr marL="0" indent="0"/>
          <a:r>
            <a:rPr lang="fr-CH" sz="900">
              <a:solidFill>
                <a:schemeClr val="dk1"/>
              </a:solidFill>
              <a:latin typeface="+mn-lt"/>
              <a:ea typeface="+mn-ea"/>
              <a:cs typeface="+mn-cs"/>
            </a:rPr>
            <a:t>- Densité des différents types de déchets</a:t>
          </a:r>
        </a:p>
        <a:p>
          <a:pPr marL="0" indent="0"/>
          <a:r>
            <a:rPr lang="fr-CH" sz="900">
              <a:solidFill>
                <a:schemeClr val="dk1"/>
              </a:solidFill>
              <a:latin typeface="+mn-lt"/>
              <a:ea typeface="+mn-ea"/>
              <a:cs typeface="+mn-cs"/>
            </a:rPr>
            <a:t>- 1 passage hebdommadaire pour tous les déchets</a:t>
          </a:r>
        </a:p>
        <a:p>
          <a:pPr marL="0" indent="0"/>
          <a:r>
            <a:rPr lang="fr-CH" sz="900">
              <a:solidFill>
                <a:schemeClr val="dk1"/>
              </a:solidFill>
              <a:latin typeface="+mn-lt"/>
              <a:ea typeface="+mn-ea"/>
              <a:cs typeface="+mn-cs"/>
            </a:rPr>
            <a:t>- 80% de remplissage des conteneurs pour la sécurité</a:t>
          </a:r>
        </a:p>
        <a:p>
          <a:pPr marL="0" indent="0"/>
          <a:r>
            <a:rPr lang="fr-CH" sz="900">
              <a:solidFill>
                <a:schemeClr val="dk1"/>
              </a:solidFill>
              <a:latin typeface="+mn-lt"/>
              <a:ea typeface="+mn-ea"/>
              <a:cs typeface="+mn-cs"/>
            </a:rPr>
            <a:t>- Nombre de conteneurs arrondis pour les conteneurs enterrés et arrondi à l'unité supérieur pour les conteneurs en surface.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550669</xdr:colOff>
      <xdr:row>8</xdr:row>
      <xdr:rowOff>0</xdr:rowOff>
    </xdr:from>
    <xdr:to>
      <xdr:col>1</xdr:col>
      <xdr:colOff>931669</xdr:colOff>
      <xdr:row>8</xdr:row>
      <xdr:rowOff>167640</xdr:rowOff>
    </xdr:to>
    <xdr:sp macro="" textlink="">
      <xdr:nvSpPr>
        <xdr:cNvPr id="6" name="Rectangle 5">
          <a:extLst>
            <a:ext uri="{FF2B5EF4-FFF2-40B4-BE49-F238E27FC236}">
              <a16:creationId xmlns:a16="http://schemas.microsoft.com/office/drawing/2014/main" id="{00000000-0008-0000-0200-000006000000}"/>
            </a:ext>
          </a:extLst>
        </xdr:cNvPr>
        <xdr:cNvSpPr/>
      </xdr:nvSpPr>
      <xdr:spPr>
        <a:xfrm>
          <a:off x="643802" y="1109133"/>
          <a:ext cx="381000" cy="167640"/>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p>
      </xdr:txBody>
    </xdr:sp>
    <xdr:clientData/>
  </xdr:twoCellAnchor>
  <xdr:twoCellAnchor>
    <xdr:from>
      <xdr:col>10</xdr:col>
      <xdr:colOff>106680</xdr:colOff>
      <xdr:row>5</xdr:row>
      <xdr:rowOff>17144</xdr:rowOff>
    </xdr:from>
    <xdr:to>
      <xdr:col>18</xdr:col>
      <xdr:colOff>639631</xdr:colOff>
      <xdr:row>40</xdr:row>
      <xdr:rowOff>175260</xdr:rowOff>
    </xdr:to>
    <xdr:sp macro="" textlink="">
      <xdr:nvSpPr>
        <xdr:cNvPr id="2" name="ZoneTexte 1">
          <a:extLst>
            <a:ext uri="{FF2B5EF4-FFF2-40B4-BE49-F238E27FC236}">
              <a16:creationId xmlns:a16="http://schemas.microsoft.com/office/drawing/2014/main" id="{00000000-0008-0000-0200-000002000000}"/>
            </a:ext>
          </a:extLst>
        </xdr:cNvPr>
        <xdr:cNvSpPr txBox="1"/>
      </xdr:nvSpPr>
      <xdr:spPr>
        <a:xfrm>
          <a:off x="8618220" y="657224"/>
          <a:ext cx="6331771" cy="59340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342900" lvl="0" indent="-342900">
            <a:lnSpc>
              <a:spcPct val="115000"/>
            </a:lnSpc>
            <a:spcAft>
              <a:spcPts val="0"/>
            </a:spcAft>
            <a:buFont typeface="Symbol"/>
            <a:buChar char=""/>
          </a:pPr>
          <a:r>
            <a:rPr lang="fr-CH" sz="1100">
              <a:effectLst/>
              <a:latin typeface="+mn-lt"/>
              <a:ea typeface="Calibri"/>
              <a:cs typeface="Times New Roman"/>
            </a:rPr>
            <a:t>Les bâtiments neufs doivent être équipés d’emplacements aménagés destinés à l’entreposage des conteneurs pour les déchets collectés au porte-à-porte. Ces emplacements peuvent être permanents ou temporaires. Ils doivent présenter un aspect paysager de qualité et s’intégrer à l’environnement, conformément à la Charte des aménagements extérieurs sur fonds privés de la Ville de Pully. </a:t>
          </a:r>
        </a:p>
        <a:p>
          <a:pPr marL="457200">
            <a:lnSpc>
              <a:spcPct val="115000"/>
            </a:lnSpc>
            <a:spcAft>
              <a:spcPts val="0"/>
            </a:spcAft>
          </a:pPr>
          <a:r>
            <a:rPr lang="fr-CH" sz="500">
              <a:effectLst/>
              <a:latin typeface="+mn-lt"/>
              <a:ea typeface="Calibri"/>
              <a:cs typeface="Times New Roman"/>
            </a:rPr>
            <a:t> </a:t>
          </a:r>
        </a:p>
        <a:p>
          <a:pPr marL="342900" lvl="0" indent="-342900">
            <a:lnSpc>
              <a:spcPct val="115000"/>
            </a:lnSpc>
            <a:spcAft>
              <a:spcPts val="0"/>
            </a:spcAft>
            <a:buFont typeface="Symbol"/>
            <a:buChar char=""/>
          </a:pPr>
          <a:r>
            <a:rPr lang="fr-CH" sz="1100">
              <a:effectLst/>
              <a:latin typeface="+mn-lt"/>
              <a:ea typeface="Calibri"/>
              <a:cs typeface="Times New Roman"/>
            </a:rPr>
            <a:t>Les emplacements permanents sont aménagés à l’intérieur des bâtiments ou font l’objet d’aménagements spécifiques (dépendances) ou paysagers de qualité (à l’air libre). Par exemple, les conteneurs peuvent être placés :</a:t>
          </a:r>
        </a:p>
        <a:p>
          <a:pPr marL="342900" lvl="0" indent="-342900">
            <a:lnSpc>
              <a:spcPct val="115000"/>
            </a:lnSpc>
            <a:spcAft>
              <a:spcPts val="0"/>
            </a:spcAft>
            <a:buFont typeface="Symbol"/>
            <a:buChar char=""/>
          </a:pPr>
          <a:endParaRPr lang="fr-CH" sz="500">
            <a:solidFill>
              <a:schemeClr val="dk1"/>
            </a:solidFill>
            <a:effectLst/>
            <a:latin typeface="+mn-lt"/>
            <a:ea typeface="+mn-ea"/>
            <a:cs typeface="+mn-cs"/>
          </a:endParaRPr>
        </a:p>
        <a:p>
          <a:pPr marL="788035" marR="0" indent="-171450" defTabSz="914400" eaLnBrk="1" fontAlgn="auto" latinLnBrk="0" hangingPunct="1">
            <a:lnSpc>
              <a:spcPct val="115000"/>
            </a:lnSpc>
            <a:spcBef>
              <a:spcPts val="0"/>
            </a:spcBef>
            <a:spcAft>
              <a:spcPts val="0"/>
            </a:spcAft>
            <a:buClrTx/>
            <a:buSzTx/>
            <a:buFont typeface="Wingdings" panose="05000000000000000000" pitchFamily="2" charset="2"/>
            <a:buChar char="ü"/>
            <a:tabLst/>
            <a:defRPr/>
          </a:pPr>
          <a:r>
            <a:rPr lang="fr-CH" sz="1100">
              <a:solidFill>
                <a:schemeClr val="dk1"/>
              </a:solidFill>
              <a:effectLst/>
              <a:latin typeface="+mn-lt"/>
              <a:ea typeface="+mn-ea"/>
              <a:cs typeface="+mn-cs"/>
            </a:rPr>
            <a:t>A l’intérieur des constructions, dans un local dédié au stockage des déchets.</a:t>
          </a:r>
          <a:endParaRPr lang="fr-CH" sz="1100">
            <a:effectLst/>
          </a:endParaRPr>
        </a:p>
        <a:p>
          <a:pPr marL="788035" marR="0" indent="-171450" defTabSz="914400" eaLnBrk="1" fontAlgn="auto" latinLnBrk="0" hangingPunct="1">
            <a:lnSpc>
              <a:spcPct val="115000"/>
            </a:lnSpc>
            <a:spcBef>
              <a:spcPts val="0"/>
            </a:spcBef>
            <a:spcAft>
              <a:spcPts val="0"/>
            </a:spcAft>
            <a:buClrTx/>
            <a:buSzTx/>
            <a:buFont typeface="Wingdings" panose="05000000000000000000" pitchFamily="2" charset="2"/>
            <a:buChar char="ü"/>
            <a:tabLst/>
            <a:defRPr/>
          </a:pPr>
          <a:r>
            <a:rPr lang="fr-CH" sz="1100">
              <a:solidFill>
                <a:schemeClr val="dk1"/>
              </a:solidFill>
              <a:effectLst/>
              <a:latin typeface="+mn-lt"/>
              <a:ea typeface="+mn-ea"/>
              <a:cs typeface="+mn-cs"/>
            </a:rPr>
            <a:t>Dans un local spécifique conçu à cet effet, hors des immeuble.</a:t>
          </a:r>
        </a:p>
        <a:p>
          <a:pPr marL="788035" marR="0" indent="-171450" defTabSz="914400" eaLnBrk="1" fontAlgn="auto" latinLnBrk="0" hangingPunct="1">
            <a:lnSpc>
              <a:spcPct val="115000"/>
            </a:lnSpc>
            <a:spcBef>
              <a:spcPts val="0"/>
            </a:spcBef>
            <a:spcAft>
              <a:spcPts val="0"/>
            </a:spcAft>
            <a:buClrTx/>
            <a:buSzTx/>
            <a:buFont typeface="Wingdings" panose="05000000000000000000" pitchFamily="2" charset="2"/>
            <a:buChar char="ü"/>
            <a:tabLst/>
            <a:defRPr/>
          </a:pPr>
          <a:r>
            <a:rPr lang="fr-CH" sz="1100">
              <a:solidFill>
                <a:schemeClr val="dk1"/>
              </a:solidFill>
              <a:effectLst/>
              <a:latin typeface="+mn-lt"/>
              <a:ea typeface="+mn-ea"/>
              <a:cs typeface="+mn-cs"/>
            </a:rPr>
            <a:t>Dans un aménagement à ciel ouvert, lorsqu’il n’est pas possible d’entreposer les conteneurs selon les deux points énoncés ci-dessus. Ce lieu de stockage doit faire l’objet d’un projet d’intégration.</a:t>
          </a:r>
          <a:endParaRPr lang="fr-CH" sz="1100">
            <a:effectLst/>
          </a:endParaRPr>
        </a:p>
        <a:p>
          <a:pPr marL="788035" indent="-171450">
            <a:lnSpc>
              <a:spcPct val="115000"/>
            </a:lnSpc>
            <a:spcAft>
              <a:spcPts val="0"/>
            </a:spcAft>
            <a:buFont typeface="Wingdings" panose="05000000000000000000" pitchFamily="2" charset="2"/>
            <a:buChar char="ü"/>
          </a:pPr>
          <a:endParaRPr lang="fr-CH" sz="500">
            <a:effectLst/>
            <a:latin typeface="+mn-lt"/>
            <a:ea typeface="Calibri"/>
            <a:cs typeface="Times New Roman"/>
          </a:endParaRPr>
        </a:p>
        <a:p>
          <a:pPr marL="342900" lvl="0" indent="-342900">
            <a:lnSpc>
              <a:spcPct val="115000"/>
            </a:lnSpc>
            <a:spcAft>
              <a:spcPts val="0"/>
            </a:spcAft>
            <a:buFont typeface="Symbol"/>
            <a:buChar char=""/>
          </a:pPr>
          <a:r>
            <a:rPr lang="fr-CH" sz="1100">
              <a:effectLst/>
              <a:latin typeface="+mn-lt"/>
              <a:ea typeface="Calibri"/>
              <a:cs typeface="Times New Roman"/>
            </a:rPr>
            <a:t>Les emplacements temporaires sont destinés à recevoir les conteneurs le jour de collecte exclusivement. D’une manière générale, les déchets doivent être déposés selon l’horaire indiqué par les directives municipales, en bordure du domaine public, sans entraver la circulation des véhicules et des piétons ni créer de danger pour les usagers du domaine public ou les collaborateurs de la Commune. Les conteneurs doivent être rentrés immédiatement après la collecte. L’emplacement temporaire doit être étudié afin que le parcours jusqu’au lieu de vidange soit court et sans obstacles pouvant entraver le chargement. L’accessibilité doit être facilitée au maximum et le véhicule de collecte doit pouvoir stationner à proximité. La pente est aussi un élément majeur à prendre en compte; selon la déclivité, les conteneurs doivent être équipés de freins. </a:t>
          </a:r>
        </a:p>
        <a:p>
          <a:pPr marL="457200">
            <a:lnSpc>
              <a:spcPct val="115000"/>
            </a:lnSpc>
            <a:spcAft>
              <a:spcPts val="0"/>
            </a:spcAft>
          </a:pPr>
          <a:r>
            <a:rPr lang="fr-CH" sz="500">
              <a:effectLst/>
              <a:latin typeface="+mn-lt"/>
              <a:ea typeface="Calibri"/>
              <a:cs typeface="Times New Roman"/>
            </a:rPr>
            <a:t> </a:t>
          </a:r>
        </a:p>
        <a:p>
          <a:pPr marL="342900" lvl="0" indent="-342900">
            <a:lnSpc>
              <a:spcPct val="115000"/>
            </a:lnSpc>
            <a:spcAft>
              <a:spcPts val="0"/>
            </a:spcAft>
            <a:buFont typeface="Symbol"/>
            <a:buChar char=""/>
          </a:pPr>
          <a:r>
            <a:rPr lang="fr-CH" sz="1100">
              <a:effectLst/>
              <a:latin typeface="+mn-lt"/>
              <a:ea typeface="Calibri"/>
              <a:cs typeface="Times New Roman"/>
            </a:rPr>
            <a:t>Dans certains cas, il est possible de centraliser la collecte des déchets en mettant en place un local à déchets commun à plusieurs bâtiments. L'utilisation de conteneurs enterrés peut parfois s'avérer judicieuse. </a:t>
          </a:r>
        </a:p>
        <a:p>
          <a:pPr marL="457200">
            <a:lnSpc>
              <a:spcPct val="115000"/>
            </a:lnSpc>
            <a:spcAft>
              <a:spcPts val="0"/>
            </a:spcAft>
          </a:pPr>
          <a:r>
            <a:rPr lang="fr-CH" sz="500">
              <a:effectLst/>
              <a:latin typeface="+mn-lt"/>
              <a:ea typeface="Calibri"/>
              <a:cs typeface="Times New Roman"/>
            </a:rPr>
            <a:t> </a:t>
          </a:r>
        </a:p>
        <a:p>
          <a:pPr marL="342900" lvl="0" indent="-342900">
            <a:lnSpc>
              <a:spcPct val="115000"/>
            </a:lnSpc>
            <a:spcAft>
              <a:spcPts val="0"/>
            </a:spcAft>
            <a:buFont typeface="Symbol"/>
            <a:buChar char=""/>
          </a:pPr>
          <a:r>
            <a:rPr lang="fr-CH" sz="1100">
              <a:effectLst/>
              <a:latin typeface="+mn-lt"/>
              <a:ea typeface="Calibri"/>
              <a:cs typeface="Times New Roman"/>
            </a:rPr>
            <a:t>Les conteneurs en métal sont interdits, seuls les conteneurs en plastique sont autorisés.</a:t>
          </a:r>
        </a:p>
        <a:p>
          <a:pPr marL="457200">
            <a:lnSpc>
              <a:spcPct val="115000"/>
            </a:lnSpc>
            <a:spcAft>
              <a:spcPts val="0"/>
            </a:spcAft>
          </a:pPr>
          <a:r>
            <a:rPr lang="fr-CH" sz="500">
              <a:effectLst/>
              <a:latin typeface="+mn-lt"/>
              <a:ea typeface="Calibri"/>
              <a:cs typeface="Times New Roman"/>
            </a:rPr>
            <a:t> </a:t>
          </a:r>
        </a:p>
        <a:p>
          <a:pPr marL="342900" lvl="0" indent="-342900">
            <a:lnSpc>
              <a:spcPct val="115000"/>
            </a:lnSpc>
            <a:spcAft>
              <a:spcPts val="1000"/>
            </a:spcAft>
            <a:buFont typeface="Symbol"/>
            <a:buChar char=""/>
          </a:pPr>
          <a:r>
            <a:rPr lang="fr-CH" sz="1100">
              <a:effectLst/>
              <a:latin typeface="+mn-lt"/>
              <a:ea typeface="Calibri"/>
              <a:cs typeface="Times New Roman"/>
            </a:rPr>
            <a:t>Les conteneurs et les emplacements permanents et temporaires doivent être entretenus régulièrement. </a:t>
          </a:r>
        </a:p>
        <a:p>
          <a:endParaRPr lang="fr-CH" sz="1100">
            <a:solidFill>
              <a:schemeClr val="dk1"/>
            </a:solidFill>
            <a:effectLst/>
            <a:latin typeface="+mn-lt"/>
            <a:ea typeface="+mn-ea"/>
            <a:cs typeface="+mn-cs"/>
          </a:endParaRPr>
        </a:p>
      </xdr:txBody>
    </xdr:sp>
    <xdr:clientData/>
  </xdr:twoCellAnchor>
  <xdr:twoCellAnchor editAs="oneCell">
    <xdr:from>
      <xdr:col>16</xdr:col>
      <xdr:colOff>545502</xdr:colOff>
      <xdr:row>0</xdr:row>
      <xdr:rowOff>71269</xdr:rowOff>
    </xdr:from>
    <xdr:to>
      <xdr:col>18</xdr:col>
      <xdr:colOff>583603</xdr:colOff>
      <xdr:row>4</xdr:row>
      <xdr:rowOff>2689</xdr:rowOff>
    </xdr:to>
    <xdr:pic>
      <xdr:nvPicPr>
        <xdr:cNvPr id="5" name="Image 4">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600342" y="71269"/>
          <a:ext cx="1623061" cy="502920"/>
        </a:xfrm>
        <a:prstGeom prst="rect">
          <a:avLst/>
        </a:prstGeom>
        <a:noFill/>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B2:AL27"/>
  <sheetViews>
    <sheetView showGridLines="0" showRowColHeaders="0" zoomScale="70" zoomScaleNormal="70" workbookViewId="0">
      <pane xSplit="2" topLeftCell="R1" activePane="topRight" state="frozen"/>
      <selection activeCell="J22" sqref="J22"/>
      <selection pane="topRight" activeCell="J22" sqref="J22"/>
    </sheetView>
  </sheetViews>
  <sheetFormatPr baseColWidth="10" defaultColWidth="11.44140625" defaultRowHeight="14.4" x14ac:dyDescent="0.3"/>
  <cols>
    <col min="1" max="1" width="2.88671875" style="45" customWidth="1"/>
    <col min="2" max="2" width="21.44140625" style="45" customWidth="1"/>
    <col min="3" max="10" width="12" style="45" customWidth="1"/>
    <col min="11" max="11" width="13.6640625" style="45" bestFit="1" customWidth="1"/>
    <col min="12" max="12" width="11.77734375" style="45" customWidth="1"/>
    <col min="13" max="13" width="12.33203125" style="45" bestFit="1" customWidth="1"/>
    <col min="14" max="14" width="11.44140625" style="45"/>
    <col min="15" max="15" width="11.5546875" style="45" customWidth="1"/>
    <col min="16" max="18" width="11.44140625" style="45"/>
    <col min="19" max="19" width="12.33203125" style="45" customWidth="1"/>
    <col min="20" max="20" width="12.109375" style="45" customWidth="1"/>
    <col min="21" max="21" width="13" style="45" customWidth="1"/>
    <col min="22" max="16384" width="11.44140625" style="45"/>
  </cols>
  <sheetData>
    <row r="2" spans="2:38" ht="49.5" customHeight="1" x14ac:dyDescent="0.3">
      <c r="G2" s="329" t="s">
        <v>28</v>
      </c>
      <c r="H2" s="329"/>
      <c r="I2" s="329"/>
      <c r="J2" s="329"/>
      <c r="K2" s="329"/>
    </row>
    <row r="3" spans="2:38" ht="15" thickBot="1" x14ac:dyDescent="0.35">
      <c r="O3" s="46"/>
      <c r="P3" s="46"/>
      <c r="Q3" s="46"/>
      <c r="R3" s="46"/>
      <c r="U3" s="47" t="s">
        <v>29</v>
      </c>
    </row>
    <row r="4" spans="2:38" s="48" customFormat="1" ht="15.6" thickTop="1" thickBot="1" x14ac:dyDescent="0.35">
      <c r="C4" s="315">
        <v>43466</v>
      </c>
      <c r="D4" s="315">
        <v>43497</v>
      </c>
      <c r="E4" s="315">
        <v>43525</v>
      </c>
      <c r="F4" s="315">
        <v>43556</v>
      </c>
      <c r="G4" s="315">
        <v>43586</v>
      </c>
      <c r="H4" s="315">
        <v>43617</v>
      </c>
      <c r="I4" s="315">
        <v>43647</v>
      </c>
      <c r="J4" s="315">
        <v>43678</v>
      </c>
      <c r="K4" s="315">
        <v>43709</v>
      </c>
      <c r="L4" s="315">
        <v>43739</v>
      </c>
      <c r="M4" s="315">
        <v>43770</v>
      </c>
      <c r="N4" s="315">
        <v>43800</v>
      </c>
      <c r="O4" s="315">
        <v>43831</v>
      </c>
      <c r="P4" s="315">
        <v>43862</v>
      </c>
      <c r="Q4" s="315">
        <v>43891</v>
      </c>
      <c r="R4" s="315">
        <v>43922</v>
      </c>
      <c r="S4" s="315">
        <v>43952</v>
      </c>
      <c r="T4" s="315">
        <v>43983</v>
      </c>
      <c r="U4" s="315">
        <v>44013</v>
      </c>
      <c r="V4" s="315">
        <v>44044</v>
      </c>
      <c r="W4" s="315">
        <v>44075</v>
      </c>
      <c r="X4" s="315">
        <v>44105</v>
      </c>
      <c r="Y4" s="315">
        <v>44136</v>
      </c>
      <c r="Z4" s="315">
        <v>44166</v>
      </c>
      <c r="AA4" s="315">
        <v>44197</v>
      </c>
      <c r="AB4" s="315">
        <v>44228</v>
      </c>
      <c r="AC4" s="315">
        <v>44256</v>
      </c>
      <c r="AD4" s="315">
        <v>44287</v>
      </c>
      <c r="AE4" s="315">
        <v>44317</v>
      </c>
      <c r="AF4" s="315">
        <v>44348</v>
      </c>
      <c r="AG4" s="315">
        <v>44378</v>
      </c>
      <c r="AH4" s="315">
        <v>44409</v>
      </c>
      <c r="AI4" s="315">
        <v>44440</v>
      </c>
      <c r="AJ4" s="315">
        <v>44470</v>
      </c>
      <c r="AK4" s="315">
        <v>44501</v>
      </c>
      <c r="AL4" s="315">
        <v>44531</v>
      </c>
    </row>
    <row r="5" spans="2:38" ht="15" thickTop="1" x14ac:dyDescent="0.3">
      <c r="B5" s="49" t="s">
        <v>124</v>
      </c>
      <c r="C5" s="50">
        <v>208940</v>
      </c>
      <c r="D5" s="51">
        <v>204380</v>
      </c>
      <c r="E5" s="51">
        <v>228480</v>
      </c>
      <c r="F5" s="51">
        <v>200980</v>
      </c>
      <c r="G5" s="51">
        <v>267410</v>
      </c>
      <c r="H5" s="51">
        <v>211790</v>
      </c>
      <c r="I5" s="51">
        <v>208960</v>
      </c>
      <c r="J5" s="51">
        <v>230630</v>
      </c>
      <c r="K5" s="51">
        <v>196090</v>
      </c>
      <c r="L5" s="51">
        <v>224160</v>
      </c>
      <c r="M5" s="51">
        <v>219450</v>
      </c>
      <c r="N5" s="52">
        <v>205950</v>
      </c>
      <c r="O5" s="50">
        <v>235250</v>
      </c>
      <c r="P5" s="51">
        <v>196540</v>
      </c>
      <c r="Q5" s="51">
        <v>204370</v>
      </c>
      <c r="R5" s="51">
        <v>233120</v>
      </c>
      <c r="S5" s="51">
        <v>237480</v>
      </c>
      <c r="T5" s="51">
        <v>214730</v>
      </c>
      <c r="U5" s="51">
        <v>246180</v>
      </c>
      <c r="V5" s="51">
        <v>188030</v>
      </c>
      <c r="W5" s="51">
        <v>207630</v>
      </c>
      <c r="X5" s="51">
        <v>249860</v>
      </c>
      <c r="Y5" s="51">
        <v>211970</v>
      </c>
      <c r="Z5" s="52">
        <v>255390</v>
      </c>
      <c r="AA5" s="50">
        <v>212260</v>
      </c>
      <c r="AB5" s="51">
        <v>209500</v>
      </c>
      <c r="AC5" s="51">
        <v>212800</v>
      </c>
      <c r="AD5" s="51">
        <v>250710</v>
      </c>
      <c r="AE5" s="51">
        <v>210480</v>
      </c>
      <c r="AF5" s="51">
        <v>225620</v>
      </c>
      <c r="AG5" s="51">
        <v>242110</v>
      </c>
      <c r="AH5" s="51">
        <v>180980</v>
      </c>
      <c r="AI5" s="51">
        <v>231300</v>
      </c>
      <c r="AJ5" s="51">
        <v>212880</v>
      </c>
      <c r="AK5" s="51">
        <v>191780</v>
      </c>
      <c r="AL5" s="52">
        <v>259470</v>
      </c>
    </row>
    <row r="6" spans="2:38" x14ac:dyDescent="0.3">
      <c r="B6" s="53" t="s">
        <v>31</v>
      </c>
      <c r="C6" s="54">
        <v>130600</v>
      </c>
      <c r="D6" s="55">
        <v>95820</v>
      </c>
      <c r="E6" s="55">
        <v>105440</v>
      </c>
      <c r="F6" s="55">
        <v>101720</v>
      </c>
      <c r="G6" s="55">
        <v>130340</v>
      </c>
      <c r="H6" s="55">
        <v>102400</v>
      </c>
      <c r="I6" s="55">
        <v>116460</v>
      </c>
      <c r="J6" s="55">
        <v>91980</v>
      </c>
      <c r="K6" s="55">
        <v>101260</v>
      </c>
      <c r="L6" s="55">
        <v>128020</v>
      </c>
      <c r="M6" s="55">
        <v>107120</v>
      </c>
      <c r="N6" s="56">
        <v>121560</v>
      </c>
      <c r="O6" s="54">
        <v>103300</v>
      </c>
      <c r="P6" s="55">
        <v>86040</v>
      </c>
      <c r="Q6" s="55">
        <v>109060</v>
      </c>
      <c r="R6" s="55">
        <v>119100</v>
      </c>
      <c r="S6" s="55">
        <v>98860</v>
      </c>
      <c r="T6" s="55">
        <v>99880</v>
      </c>
      <c r="U6" s="55">
        <v>114880</v>
      </c>
      <c r="V6" s="55">
        <v>87520</v>
      </c>
      <c r="W6" s="55">
        <v>130020</v>
      </c>
      <c r="X6" s="55">
        <v>107640</v>
      </c>
      <c r="Y6" s="55">
        <v>111460</v>
      </c>
      <c r="Z6" s="56">
        <v>142400</v>
      </c>
      <c r="AA6" s="54">
        <v>96040</v>
      </c>
      <c r="AB6" s="55">
        <v>99500</v>
      </c>
      <c r="AC6" s="55">
        <v>137520</v>
      </c>
      <c r="AD6" s="55">
        <v>102180</v>
      </c>
      <c r="AE6" s="55">
        <v>106040</v>
      </c>
      <c r="AF6" s="55">
        <v>132400</v>
      </c>
      <c r="AG6" s="55">
        <v>98380</v>
      </c>
      <c r="AH6" s="55">
        <v>86840</v>
      </c>
      <c r="AI6" s="55">
        <v>127560</v>
      </c>
      <c r="AJ6" s="55">
        <v>99960</v>
      </c>
      <c r="AK6" s="55">
        <v>104540</v>
      </c>
      <c r="AL6" s="56">
        <v>139460</v>
      </c>
    </row>
    <row r="7" spans="2:38" x14ac:dyDescent="0.3">
      <c r="B7" s="53" t="s">
        <v>142</v>
      </c>
      <c r="C7" s="54">
        <v>54560</v>
      </c>
      <c r="D7" s="55">
        <v>58400</v>
      </c>
      <c r="E7" s="55">
        <v>64920</v>
      </c>
      <c r="F7" s="55">
        <v>107380</v>
      </c>
      <c r="G7" s="55">
        <v>106960</v>
      </c>
      <c r="H7" s="55">
        <v>121320</v>
      </c>
      <c r="I7" s="55">
        <v>112280</v>
      </c>
      <c r="J7" s="55">
        <v>87560</v>
      </c>
      <c r="K7" s="55">
        <v>93380</v>
      </c>
      <c r="L7" s="55">
        <v>93140</v>
      </c>
      <c r="M7" s="55">
        <v>96580</v>
      </c>
      <c r="N7" s="56">
        <v>90020</v>
      </c>
      <c r="O7" s="54">
        <v>63240</v>
      </c>
      <c r="P7" s="55">
        <v>57840</v>
      </c>
      <c r="Q7" s="55">
        <v>97160</v>
      </c>
      <c r="R7" s="55">
        <v>109200</v>
      </c>
      <c r="S7" s="55">
        <v>127280</v>
      </c>
      <c r="T7" s="55">
        <v>136060</v>
      </c>
      <c r="U7" s="55">
        <v>91660</v>
      </c>
      <c r="V7" s="55">
        <v>93400</v>
      </c>
      <c r="W7" s="55">
        <v>93440</v>
      </c>
      <c r="X7" s="55">
        <v>93560</v>
      </c>
      <c r="Y7" s="55">
        <v>124700</v>
      </c>
      <c r="Z7" s="56">
        <v>71880</v>
      </c>
      <c r="AA7" s="54">
        <v>64440</v>
      </c>
      <c r="AB7" s="55">
        <v>67080</v>
      </c>
      <c r="AC7" s="55">
        <v>101080</v>
      </c>
      <c r="AD7" s="55">
        <v>95900</v>
      </c>
      <c r="AE7" s="55">
        <v>125160</v>
      </c>
      <c r="AF7" s="55">
        <v>144200</v>
      </c>
      <c r="AG7" s="55">
        <v>111900</v>
      </c>
      <c r="AH7" s="55">
        <v>116380</v>
      </c>
      <c r="AI7" s="55">
        <v>80580</v>
      </c>
      <c r="AJ7" s="55">
        <v>85440</v>
      </c>
      <c r="AK7" s="55">
        <v>113740</v>
      </c>
      <c r="AL7" s="56">
        <v>62260</v>
      </c>
    </row>
    <row r="8" spans="2:38" x14ac:dyDescent="0.3">
      <c r="B8" s="53" t="s">
        <v>33</v>
      </c>
      <c r="C8" s="54">
        <v>64560</v>
      </c>
      <c r="D8" s="55">
        <v>51840</v>
      </c>
      <c r="E8" s="55">
        <v>64260</v>
      </c>
      <c r="F8" s="55">
        <v>47660</v>
      </c>
      <c r="G8" s="55">
        <v>52680</v>
      </c>
      <c r="H8" s="55">
        <v>80400</v>
      </c>
      <c r="I8" s="55">
        <v>50800</v>
      </c>
      <c r="J8" s="55">
        <v>48940</v>
      </c>
      <c r="K8" s="55">
        <v>60240</v>
      </c>
      <c r="L8" s="55">
        <v>58440</v>
      </c>
      <c r="M8" s="55">
        <v>52900</v>
      </c>
      <c r="N8" s="56">
        <v>57300</v>
      </c>
      <c r="O8" s="54">
        <v>68700</v>
      </c>
      <c r="P8" s="55">
        <v>47920</v>
      </c>
      <c r="Q8" s="55">
        <v>68820</v>
      </c>
      <c r="R8" s="55">
        <v>70460</v>
      </c>
      <c r="S8" s="55">
        <v>87340</v>
      </c>
      <c r="T8" s="55">
        <v>64100</v>
      </c>
      <c r="U8" s="55">
        <v>69420</v>
      </c>
      <c r="V8" s="55">
        <v>54200</v>
      </c>
      <c r="W8" s="55">
        <v>60640</v>
      </c>
      <c r="X8" s="55">
        <v>71560</v>
      </c>
      <c r="Y8" s="55">
        <v>51180</v>
      </c>
      <c r="Z8" s="56">
        <v>80180</v>
      </c>
      <c r="AA8" s="54">
        <v>61400</v>
      </c>
      <c r="AB8" s="55">
        <v>67520</v>
      </c>
      <c r="AC8" s="55">
        <v>71750</v>
      </c>
      <c r="AD8" s="55">
        <v>67520</v>
      </c>
      <c r="AE8" s="55">
        <v>82120</v>
      </c>
      <c r="AF8" s="55">
        <v>55620</v>
      </c>
      <c r="AG8" s="55">
        <v>72360</v>
      </c>
      <c r="AH8" s="55">
        <v>56340</v>
      </c>
      <c r="AI8" s="55">
        <v>57500</v>
      </c>
      <c r="AJ8" s="55">
        <v>60760</v>
      </c>
      <c r="AK8" s="55">
        <v>53240</v>
      </c>
      <c r="AL8" s="56">
        <v>65640</v>
      </c>
    </row>
    <row r="9" spans="2:38" x14ac:dyDescent="0.3">
      <c r="B9" s="57" t="s">
        <v>34</v>
      </c>
      <c r="C9" s="54">
        <v>5600</v>
      </c>
      <c r="D9" s="55">
        <v>5150</v>
      </c>
      <c r="E9" s="55">
        <v>4790</v>
      </c>
      <c r="F9" s="55">
        <v>6210</v>
      </c>
      <c r="G9" s="55">
        <v>5700</v>
      </c>
      <c r="H9" s="55">
        <v>6500</v>
      </c>
      <c r="I9" s="55">
        <v>6910</v>
      </c>
      <c r="J9" s="55">
        <v>6190</v>
      </c>
      <c r="K9" s="55">
        <v>5900</v>
      </c>
      <c r="L9" s="55">
        <v>5660</v>
      </c>
      <c r="M9" s="55">
        <v>5470</v>
      </c>
      <c r="N9" s="56">
        <v>5650</v>
      </c>
      <c r="O9" s="54">
        <v>5570</v>
      </c>
      <c r="P9" s="55">
        <v>4440</v>
      </c>
      <c r="Q9" s="55">
        <v>6530</v>
      </c>
      <c r="R9" s="55">
        <v>7940</v>
      </c>
      <c r="S9" s="55">
        <v>6830</v>
      </c>
      <c r="T9" s="55">
        <v>6470</v>
      </c>
      <c r="U9" s="55">
        <v>7210</v>
      </c>
      <c r="V9" s="55">
        <v>7060</v>
      </c>
      <c r="W9" s="55">
        <v>6100</v>
      </c>
      <c r="X9" s="55">
        <v>6160</v>
      </c>
      <c r="Y9" s="55">
        <v>5800</v>
      </c>
      <c r="Z9" s="56">
        <v>6040</v>
      </c>
      <c r="AA9" s="54">
        <v>6340</v>
      </c>
      <c r="AB9" s="55">
        <v>5050</v>
      </c>
      <c r="AC9" s="55">
        <v>6620</v>
      </c>
      <c r="AD9" s="55">
        <v>6390</v>
      </c>
      <c r="AE9" s="55">
        <v>5870</v>
      </c>
      <c r="AF9" s="55">
        <v>7490</v>
      </c>
      <c r="AG9" s="55">
        <v>5580</v>
      </c>
      <c r="AH9" s="55">
        <v>6470</v>
      </c>
      <c r="AI9" s="55">
        <v>5960</v>
      </c>
      <c r="AJ9" s="55">
        <v>5620</v>
      </c>
      <c r="AK9" s="55">
        <v>4860</v>
      </c>
      <c r="AL9" s="56">
        <v>5240</v>
      </c>
    </row>
    <row r="10" spans="2:38" ht="15" customHeight="1" x14ac:dyDescent="0.3">
      <c r="B10" s="58" t="s">
        <v>35</v>
      </c>
      <c r="C10" s="59">
        <v>4260</v>
      </c>
      <c r="D10" s="60">
        <v>2940</v>
      </c>
      <c r="E10" s="60">
        <v>2660</v>
      </c>
      <c r="F10" s="60">
        <v>3310</v>
      </c>
      <c r="G10" s="60">
        <v>3670</v>
      </c>
      <c r="H10" s="60">
        <v>2820</v>
      </c>
      <c r="I10" s="60">
        <v>3510</v>
      </c>
      <c r="J10" s="60">
        <v>2690</v>
      </c>
      <c r="K10" s="60">
        <v>2610</v>
      </c>
      <c r="L10" s="60">
        <v>3620</v>
      </c>
      <c r="M10" s="60">
        <v>2820</v>
      </c>
      <c r="N10" s="61">
        <v>3030</v>
      </c>
      <c r="O10" s="59">
        <v>3600</v>
      </c>
      <c r="P10" s="60">
        <v>2930</v>
      </c>
      <c r="Q10" s="60">
        <v>1430</v>
      </c>
      <c r="R10" s="60">
        <v>1300</v>
      </c>
      <c r="S10" s="60">
        <v>620</v>
      </c>
      <c r="T10" s="60">
        <v>4480</v>
      </c>
      <c r="U10" s="60">
        <v>3390</v>
      </c>
      <c r="V10" s="60">
        <v>3130</v>
      </c>
      <c r="W10" s="60">
        <v>3370</v>
      </c>
      <c r="X10" s="60">
        <v>3620</v>
      </c>
      <c r="Y10" s="60">
        <v>3710</v>
      </c>
      <c r="Z10" s="61">
        <v>2570</v>
      </c>
      <c r="AA10" s="59">
        <v>4420</v>
      </c>
      <c r="AB10" s="60">
        <v>4180</v>
      </c>
      <c r="AC10" s="60">
        <v>4120</v>
      </c>
      <c r="AD10" s="60">
        <v>3030</v>
      </c>
      <c r="AE10" s="60">
        <v>4690</v>
      </c>
      <c r="AF10" s="60">
        <v>3470</v>
      </c>
      <c r="AG10" s="60">
        <v>4220</v>
      </c>
      <c r="AH10" s="60">
        <v>4000</v>
      </c>
      <c r="AI10" s="60">
        <v>3510</v>
      </c>
      <c r="AJ10" s="60">
        <v>3050</v>
      </c>
      <c r="AK10" s="60">
        <v>3460</v>
      </c>
      <c r="AL10" s="61">
        <v>2640</v>
      </c>
    </row>
    <row r="11" spans="2:38" ht="15" customHeight="1" x14ac:dyDescent="0.3">
      <c r="B11" s="62" t="s">
        <v>36</v>
      </c>
      <c r="C11" s="63">
        <f t="shared" ref="C11:Z11" si="0">SUM(C5:C10)</f>
        <v>468520</v>
      </c>
      <c r="D11" s="64">
        <f t="shared" si="0"/>
        <v>418530</v>
      </c>
      <c r="E11" s="64">
        <f t="shared" si="0"/>
        <v>470550</v>
      </c>
      <c r="F11" s="64">
        <f t="shared" si="0"/>
        <v>467260</v>
      </c>
      <c r="G11" s="64">
        <f t="shared" si="0"/>
        <v>566760</v>
      </c>
      <c r="H11" s="64">
        <f t="shared" si="0"/>
        <v>525230</v>
      </c>
      <c r="I11" s="64">
        <f t="shared" si="0"/>
        <v>498920</v>
      </c>
      <c r="J11" s="64">
        <f t="shared" si="0"/>
        <v>467990</v>
      </c>
      <c r="K11" s="64">
        <f t="shared" si="0"/>
        <v>459480</v>
      </c>
      <c r="L11" s="64">
        <f t="shared" si="0"/>
        <v>513040</v>
      </c>
      <c r="M11" s="64">
        <f t="shared" si="0"/>
        <v>484340</v>
      </c>
      <c r="N11" s="65">
        <f t="shared" si="0"/>
        <v>483510</v>
      </c>
      <c r="O11" s="63">
        <f t="shared" si="0"/>
        <v>479660</v>
      </c>
      <c r="P11" s="64">
        <f t="shared" si="0"/>
        <v>395710</v>
      </c>
      <c r="Q11" s="64">
        <f t="shared" si="0"/>
        <v>487370</v>
      </c>
      <c r="R11" s="64">
        <f t="shared" si="0"/>
        <v>541120</v>
      </c>
      <c r="S11" s="64">
        <f t="shared" si="0"/>
        <v>558410</v>
      </c>
      <c r="T11" s="64">
        <f t="shared" si="0"/>
        <v>525720</v>
      </c>
      <c r="U11" s="64">
        <f t="shared" si="0"/>
        <v>532740</v>
      </c>
      <c r="V11" s="64">
        <f t="shared" si="0"/>
        <v>433340</v>
      </c>
      <c r="W11" s="64">
        <f t="shared" si="0"/>
        <v>501200</v>
      </c>
      <c r="X11" s="64">
        <f t="shared" si="0"/>
        <v>532400</v>
      </c>
      <c r="Y11" s="64">
        <f t="shared" si="0"/>
        <v>508820</v>
      </c>
      <c r="Z11" s="65">
        <f t="shared" si="0"/>
        <v>558460</v>
      </c>
      <c r="AA11" s="66">
        <f>SUM(AA5:AA10)</f>
        <v>444900</v>
      </c>
      <c r="AB11" s="67">
        <f t="shared" ref="AB11:AL11" si="1">SUM(AB5:AB10)</f>
        <v>452830</v>
      </c>
      <c r="AC11" s="67">
        <f t="shared" si="1"/>
        <v>533890</v>
      </c>
      <c r="AD11" s="67">
        <f t="shared" si="1"/>
        <v>525730</v>
      </c>
      <c r="AE11" s="67">
        <f t="shared" si="1"/>
        <v>534360</v>
      </c>
      <c r="AF11" s="67">
        <f t="shared" si="1"/>
        <v>568800</v>
      </c>
      <c r="AG11" s="67">
        <f t="shared" si="1"/>
        <v>534550</v>
      </c>
      <c r="AH11" s="67">
        <f t="shared" si="1"/>
        <v>451010</v>
      </c>
      <c r="AI11" s="67">
        <f t="shared" si="1"/>
        <v>506410</v>
      </c>
      <c r="AJ11" s="67">
        <f t="shared" si="1"/>
        <v>467710</v>
      </c>
      <c r="AK11" s="67">
        <f t="shared" si="1"/>
        <v>471620</v>
      </c>
      <c r="AL11" s="68">
        <f t="shared" si="1"/>
        <v>534710</v>
      </c>
    </row>
    <row r="12" spans="2:38" ht="15" customHeight="1" x14ac:dyDescent="0.3">
      <c r="B12" s="69" t="s">
        <v>37</v>
      </c>
      <c r="C12" s="70">
        <f t="shared" ref="C12:Z12" si="2">SUM(C8:C10)</f>
        <v>74420</v>
      </c>
      <c r="D12" s="71">
        <f t="shared" si="2"/>
        <v>59930</v>
      </c>
      <c r="E12" s="71">
        <f t="shared" si="2"/>
        <v>71710</v>
      </c>
      <c r="F12" s="71">
        <f t="shared" si="2"/>
        <v>57180</v>
      </c>
      <c r="G12" s="71">
        <f t="shared" si="2"/>
        <v>62050</v>
      </c>
      <c r="H12" s="71">
        <f t="shared" si="2"/>
        <v>89720</v>
      </c>
      <c r="I12" s="71">
        <f t="shared" si="2"/>
        <v>61220</v>
      </c>
      <c r="J12" s="71">
        <f t="shared" si="2"/>
        <v>57820</v>
      </c>
      <c r="K12" s="71">
        <f t="shared" si="2"/>
        <v>68750</v>
      </c>
      <c r="L12" s="71">
        <f t="shared" si="2"/>
        <v>67720</v>
      </c>
      <c r="M12" s="71">
        <f t="shared" si="2"/>
        <v>61190</v>
      </c>
      <c r="N12" s="72">
        <f t="shared" si="2"/>
        <v>65980</v>
      </c>
      <c r="O12" s="70">
        <f t="shared" si="2"/>
        <v>77870</v>
      </c>
      <c r="P12" s="71">
        <f t="shared" si="2"/>
        <v>55290</v>
      </c>
      <c r="Q12" s="71">
        <f t="shared" si="2"/>
        <v>76780</v>
      </c>
      <c r="R12" s="71">
        <f t="shared" si="2"/>
        <v>79700</v>
      </c>
      <c r="S12" s="71">
        <f t="shared" si="2"/>
        <v>94790</v>
      </c>
      <c r="T12" s="71">
        <f t="shared" si="2"/>
        <v>75050</v>
      </c>
      <c r="U12" s="71">
        <f t="shared" si="2"/>
        <v>80020</v>
      </c>
      <c r="V12" s="71">
        <f t="shared" si="2"/>
        <v>64390</v>
      </c>
      <c r="W12" s="71">
        <f t="shared" si="2"/>
        <v>70110</v>
      </c>
      <c r="X12" s="71">
        <f t="shared" si="2"/>
        <v>81340</v>
      </c>
      <c r="Y12" s="71">
        <f t="shared" si="2"/>
        <v>60690</v>
      </c>
      <c r="Z12" s="72">
        <f t="shared" si="2"/>
        <v>88790</v>
      </c>
      <c r="AA12" s="73">
        <f>SUM(AA8:AA10)</f>
        <v>72160</v>
      </c>
      <c r="AB12" s="74">
        <f t="shared" ref="AB12:AL12" si="3">SUM(AB8:AB10)</f>
        <v>76750</v>
      </c>
      <c r="AC12" s="74">
        <f t="shared" si="3"/>
        <v>82490</v>
      </c>
      <c r="AD12" s="74">
        <f t="shared" si="3"/>
        <v>76940</v>
      </c>
      <c r="AE12" s="74">
        <f t="shared" si="3"/>
        <v>92680</v>
      </c>
      <c r="AF12" s="74">
        <f t="shared" si="3"/>
        <v>66580</v>
      </c>
      <c r="AG12" s="74">
        <f t="shared" si="3"/>
        <v>82160</v>
      </c>
      <c r="AH12" s="74">
        <f t="shared" si="3"/>
        <v>66810</v>
      </c>
      <c r="AI12" s="74">
        <f t="shared" si="3"/>
        <v>66970</v>
      </c>
      <c r="AJ12" s="74">
        <f t="shared" si="3"/>
        <v>69430</v>
      </c>
      <c r="AK12" s="74">
        <f t="shared" si="3"/>
        <v>61560</v>
      </c>
      <c r="AL12" s="75">
        <f t="shared" si="3"/>
        <v>73520</v>
      </c>
    </row>
    <row r="13" spans="2:38" ht="15" thickBot="1" x14ac:dyDescent="0.35">
      <c r="B13" s="76" t="s">
        <v>38</v>
      </c>
      <c r="C13" s="77">
        <f t="shared" ref="C13:Z13" si="4">SUM(C5:C8)</f>
        <v>458660</v>
      </c>
      <c r="D13" s="78">
        <f t="shared" si="4"/>
        <v>410440</v>
      </c>
      <c r="E13" s="78">
        <f t="shared" si="4"/>
        <v>463100</v>
      </c>
      <c r="F13" s="78">
        <f t="shared" si="4"/>
        <v>457740</v>
      </c>
      <c r="G13" s="78">
        <f t="shared" si="4"/>
        <v>557390</v>
      </c>
      <c r="H13" s="78">
        <f t="shared" si="4"/>
        <v>515910</v>
      </c>
      <c r="I13" s="78">
        <f t="shared" si="4"/>
        <v>488500</v>
      </c>
      <c r="J13" s="78">
        <f t="shared" si="4"/>
        <v>459110</v>
      </c>
      <c r="K13" s="78">
        <f t="shared" si="4"/>
        <v>450970</v>
      </c>
      <c r="L13" s="78">
        <f t="shared" si="4"/>
        <v>503760</v>
      </c>
      <c r="M13" s="78">
        <f t="shared" si="4"/>
        <v>476050</v>
      </c>
      <c r="N13" s="79">
        <f t="shared" si="4"/>
        <v>474830</v>
      </c>
      <c r="O13" s="77">
        <f t="shared" si="4"/>
        <v>470490</v>
      </c>
      <c r="P13" s="78">
        <f t="shared" si="4"/>
        <v>388340</v>
      </c>
      <c r="Q13" s="78">
        <f t="shared" si="4"/>
        <v>479410</v>
      </c>
      <c r="R13" s="78">
        <f t="shared" si="4"/>
        <v>531880</v>
      </c>
      <c r="S13" s="78">
        <f t="shared" si="4"/>
        <v>550960</v>
      </c>
      <c r="T13" s="78">
        <f t="shared" si="4"/>
        <v>514770</v>
      </c>
      <c r="U13" s="78">
        <f t="shared" si="4"/>
        <v>522140</v>
      </c>
      <c r="V13" s="78">
        <f t="shared" si="4"/>
        <v>423150</v>
      </c>
      <c r="W13" s="78">
        <f t="shared" si="4"/>
        <v>491730</v>
      </c>
      <c r="X13" s="78">
        <f t="shared" si="4"/>
        <v>522620</v>
      </c>
      <c r="Y13" s="78">
        <f t="shared" si="4"/>
        <v>499310</v>
      </c>
      <c r="Z13" s="80">
        <f t="shared" si="4"/>
        <v>549850</v>
      </c>
      <c r="AA13" s="81">
        <f>SUM(AA5:AA8)</f>
        <v>434140</v>
      </c>
      <c r="AB13" s="79">
        <f t="shared" ref="AB13:AL13" si="5">SUM(AB5:AB8)</f>
        <v>443600</v>
      </c>
      <c r="AC13" s="79">
        <f t="shared" si="5"/>
        <v>523150</v>
      </c>
      <c r="AD13" s="79">
        <f t="shared" si="5"/>
        <v>516310</v>
      </c>
      <c r="AE13" s="79">
        <f t="shared" si="5"/>
        <v>523800</v>
      </c>
      <c r="AF13" s="79">
        <f t="shared" si="5"/>
        <v>557840</v>
      </c>
      <c r="AG13" s="79">
        <f t="shared" si="5"/>
        <v>524750</v>
      </c>
      <c r="AH13" s="79">
        <f t="shared" si="5"/>
        <v>440540</v>
      </c>
      <c r="AI13" s="79">
        <f t="shared" si="5"/>
        <v>496940</v>
      </c>
      <c r="AJ13" s="79">
        <f t="shared" si="5"/>
        <v>459040</v>
      </c>
      <c r="AK13" s="79">
        <f t="shared" si="5"/>
        <v>463300</v>
      </c>
      <c r="AL13" s="82">
        <f t="shared" si="5"/>
        <v>526830</v>
      </c>
    </row>
    <row r="14" spans="2:38" s="84" customFormat="1" ht="15.6" customHeight="1" thickTop="1" thickBot="1" x14ac:dyDescent="0.3">
      <c r="B14" s="83" t="s">
        <v>39</v>
      </c>
      <c r="C14" s="330">
        <v>18472</v>
      </c>
      <c r="D14" s="331"/>
      <c r="E14" s="331"/>
      <c r="F14" s="331"/>
      <c r="G14" s="331"/>
      <c r="H14" s="331"/>
      <c r="I14" s="331"/>
      <c r="J14" s="331"/>
      <c r="K14" s="331"/>
      <c r="L14" s="331"/>
      <c r="M14" s="331"/>
      <c r="N14" s="332"/>
      <c r="O14" s="330">
        <v>18688</v>
      </c>
      <c r="P14" s="331"/>
      <c r="Q14" s="331"/>
      <c r="R14" s="331"/>
      <c r="S14" s="331"/>
      <c r="T14" s="331"/>
      <c r="U14" s="331"/>
      <c r="V14" s="331"/>
      <c r="W14" s="331"/>
      <c r="X14" s="331"/>
      <c r="Y14" s="331"/>
      <c r="Z14" s="332"/>
      <c r="AA14" s="330">
        <v>18881</v>
      </c>
      <c r="AB14" s="331"/>
      <c r="AC14" s="331"/>
      <c r="AD14" s="331"/>
      <c r="AE14" s="331"/>
      <c r="AF14" s="331"/>
      <c r="AG14" s="331"/>
      <c r="AH14" s="331"/>
      <c r="AI14" s="331"/>
      <c r="AJ14" s="331"/>
      <c r="AK14" s="331"/>
      <c r="AL14" s="332"/>
    </row>
    <row r="15" spans="2:38" ht="15" thickTop="1" x14ac:dyDescent="0.3">
      <c r="C15" s="85" t="s">
        <v>40</v>
      </c>
      <c r="Z15" s="86"/>
    </row>
    <row r="16" spans="2:38" x14ac:dyDescent="0.3">
      <c r="C16" s="85" t="s">
        <v>41</v>
      </c>
    </row>
    <row r="17" spans="3:31" ht="15" thickBot="1" x14ac:dyDescent="0.35">
      <c r="C17" s="85"/>
    </row>
    <row r="18" spans="3:31" ht="15" thickTop="1" x14ac:dyDescent="0.3">
      <c r="C18" s="87"/>
      <c r="D18" s="88"/>
      <c r="E18" s="88"/>
      <c r="F18" s="88"/>
      <c r="G18" s="88"/>
      <c r="H18" s="88"/>
      <c r="I18" s="88"/>
      <c r="J18" s="88"/>
      <c r="K18" s="88"/>
      <c r="L18" s="88"/>
      <c r="M18" s="89"/>
    </row>
    <row r="19" spans="3:31" ht="15" thickBot="1" x14ac:dyDescent="0.35">
      <c r="C19" s="90"/>
      <c r="D19" s="91" t="s">
        <v>42</v>
      </c>
      <c r="E19" s="91"/>
      <c r="F19" s="92" t="s">
        <v>141</v>
      </c>
      <c r="G19" s="93">
        <f>YEAR(O4)</f>
        <v>2020</v>
      </c>
      <c r="H19" s="93">
        <f>YEAR(AA4)</f>
        <v>2021</v>
      </c>
      <c r="J19" s="94" t="s">
        <v>43</v>
      </c>
      <c r="K19" s="95"/>
      <c r="L19" s="93" t="s">
        <v>44</v>
      </c>
      <c r="M19" s="96"/>
    </row>
    <row r="20" spans="3:31" ht="15" thickBot="1" x14ac:dyDescent="0.35">
      <c r="C20" s="90"/>
      <c r="D20" s="97" t="s">
        <v>30</v>
      </c>
      <c r="E20" s="98"/>
      <c r="F20" s="99">
        <f>SUM(C5:N5)/$C$14</f>
        <v>141.14443482026851</v>
      </c>
      <c r="G20" s="99">
        <f>SUM(O5:Z5)/$O$14</f>
        <v>143.43696489726028</v>
      </c>
      <c r="H20" s="99">
        <f>SUM(AA5:AL5)/$AA$14</f>
        <v>139.81727662729728</v>
      </c>
      <c r="I20" s="100">
        <f t="shared" ref="I20:I25" si="6">AVERAGE(F20:H20)</f>
        <v>141.46622544827537</v>
      </c>
      <c r="J20" s="101">
        <f>'2. Dimension ecopoint'!J4</f>
        <v>0.2</v>
      </c>
      <c r="K20" s="95"/>
      <c r="L20" s="99">
        <f t="shared" ref="L20:L25" si="7">AVERAGE(F20:H20)*(1+$J$20)</f>
        <v>169.75947053793044</v>
      </c>
      <c r="M20" s="96"/>
    </row>
    <row r="21" spans="3:31" x14ac:dyDescent="0.3">
      <c r="C21" s="90"/>
      <c r="D21" s="102" t="s">
        <v>31</v>
      </c>
      <c r="E21" s="103"/>
      <c r="F21" s="104">
        <f>SUM(C6:N6)/$C$14</f>
        <v>72.148116067561716</v>
      </c>
      <c r="G21" s="104">
        <f>SUM(O6:Z6)/$O$14</f>
        <v>70.107020547945211</v>
      </c>
      <c r="H21" s="104">
        <f>SUM(AA6:AL6)/$AA$14</f>
        <v>70.463428843811243</v>
      </c>
      <c r="I21" s="100">
        <f t="shared" si="6"/>
        <v>70.90618848643939</v>
      </c>
      <c r="J21" s="95"/>
      <c r="K21" s="95"/>
      <c r="L21" s="104">
        <f t="shared" si="7"/>
        <v>85.08742618372726</v>
      </c>
      <c r="M21" s="96"/>
      <c r="AE21" s="105"/>
    </row>
    <row r="22" spans="3:31" x14ac:dyDescent="0.3">
      <c r="C22" s="90"/>
      <c r="D22" s="106" t="s">
        <v>32</v>
      </c>
      <c r="E22" s="103"/>
      <c r="F22" s="107">
        <f>S27/$C$14</f>
        <v>69.530099610220873</v>
      </c>
      <c r="G22" s="107">
        <f>T27/$O$14</f>
        <v>71.982020547945211</v>
      </c>
      <c r="H22" s="107">
        <f>U27/$AA$14</f>
        <v>79.069964514591391</v>
      </c>
      <c r="I22" s="100">
        <f t="shared" si="6"/>
        <v>73.52736155758582</v>
      </c>
      <c r="J22" s="95"/>
      <c r="K22" s="95"/>
      <c r="L22" s="104">
        <f t="shared" si="7"/>
        <v>88.232833869102976</v>
      </c>
      <c r="M22" s="96"/>
    </row>
    <row r="23" spans="3:31" x14ac:dyDescent="0.3">
      <c r="C23" s="90"/>
      <c r="D23" s="102" t="s">
        <v>33</v>
      </c>
      <c r="E23" s="103"/>
      <c r="F23" s="104">
        <f>SUM(C8:N8)/$C$14</f>
        <v>37.354915547856216</v>
      </c>
      <c r="G23" s="104">
        <f>SUM(O8:Z8)/$O$14</f>
        <v>42.514982876712331</v>
      </c>
      <c r="H23" s="104">
        <f>SUM(AA8:AL8)/$AA$14</f>
        <v>40.875483290079977</v>
      </c>
      <c r="I23" s="100">
        <f t="shared" si="6"/>
        <v>40.248460571549508</v>
      </c>
      <c r="J23" s="95"/>
      <c r="K23" s="95"/>
      <c r="L23" s="104">
        <f t="shared" si="7"/>
        <v>48.298152685859407</v>
      </c>
      <c r="M23" s="96"/>
    </row>
    <row r="24" spans="3:31" x14ac:dyDescent="0.3">
      <c r="C24" s="90"/>
      <c r="D24" s="102" t="s">
        <v>45</v>
      </c>
      <c r="E24" s="108"/>
      <c r="F24" s="104">
        <f>SUM(C9:N9)/$C$14</f>
        <v>3.7749025552187092</v>
      </c>
      <c r="G24" s="104">
        <f>SUM(O9:Z9)/$O$14</f>
        <v>4.0748073630136989</v>
      </c>
      <c r="H24" s="104">
        <f>SUM(AA9:AL9)/$AA$14</f>
        <v>3.78634606217891</v>
      </c>
      <c r="I24" s="100">
        <f t="shared" si="6"/>
        <v>3.8786853268037724</v>
      </c>
      <c r="J24" s="95"/>
      <c r="K24" s="95"/>
      <c r="L24" s="104">
        <f t="shared" si="7"/>
        <v>4.6544223921645269</v>
      </c>
      <c r="M24" s="96"/>
    </row>
    <row r="25" spans="3:31" x14ac:dyDescent="0.3">
      <c r="C25" s="90"/>
      <c r="D25" s="109" t="s">
        <v>46</v>
      </c>
      <c r="E25" s="110"/>
      <c r="F25" s="111">
        <f>SUM(C10:N10)/$C$14</f>
        <v>2.0539194456474665</v>
      </c>
      <c r="G25" s="111">
        <f>SUM(O10:Z10)/$O$14</f>
        <v>1.8273758561643836</v>
      </c>
      <c r="H25" s="111">
        <f>SUM(AA10:AL10)/$AA$14</f>
        <v>2.3722260473491872</v>
      </c>
      <c r="I25" s="100">
        <f t="shared" si="6"/>
        <v>2.0845071163870124</v>
      </c>
      <c r="J25" s="95"/>
      <c r="K25" s="95"/>
      <c r="L25" s="111">
        <f t="shared" si="7"/>
        <v>2.5014085396644146</v>
      </c>
      <c r="M25" s="96"/>
      <c r="Q25" s="112" t="s">
        <v>47</v>
      </c>
      <c r="S25" s="113" t="str">
        <f>F19</f>
        <v>=ANNEE(C4)</v>
      </c>
      <c r="T25" s="113">
        <f t="shared" ref="T25:U25" si="8">G19</f>
        <v>2020</v>
      </c>
      <c r="U25" s="113">
        <f t="shared" si="8"/>
        <v>2021</v>
      </c>
    </row>
    <row r="26" spans="3:31" ht="15" thickBot="1" x14ac:dyDescent="0.35">
      <c r="C26" s="114"/>
      <c r="D26" s="115"/>
      <c r="E26" s="115"/>
      <c r="F26" s="115"/>
      <c r="G26" s="115"/>
      <c r="H26" s="115"/>
      <c r="I26" s="115"/>
      <c r="J26" s="115"/>
      <c r="K26" s="115"/>
      <c r="L26" s="115"/>
      <c r="M26" s="116"/>
      <c r="Q26" s="47" t="s">
        <v>48</v>
      </c>
      <c r="S26" s="117">
        <f>G7+H7+I7+J7</f>
        <v>428120</v>
      </c>
      <c r="T26" s="117">
        <f>S7+T7+U7+V7</f>
        <v>448400</v>
      </c>
      <c r="U26" s="117">
        <f>AE7+AF7+AG7+AH7</f>
        <v>497640</v>
      </c>
    </row>
    <row r="27" spans="3:31" ht="15" thickTop="1" x14ac:dyDescent="0.3">
      <c r="Q27" s="47" t="s">
        <v>49</v>
      </c>
      <c r="S27" s="118">
        <f t="shared" ref="S27:U27" si="9">S26*3</f>
        <v>1284360</v>
      </c>
      <c r="T27" s="118">
        <f t="shared" si="9"/>
        <v>1345200</v>
      </c>
      <c r="U27" s="118">
        <f t="shared" si="9"/>
        <v>1492920</v>
      </c>
    </row>
  </sheetData>
  <mergeCells count="4">
    <mergeCell ref="G2:K2"/>
    <mergeCell ref="C14:N14"/>
    <mergeCell ref="O14:Z14"/>
    <mergeCell ref="AA14:AL14"/>
  </mergeCells>
  <pageMargins left="0.25" right="0.25" top="0.75" bottom="0.75" header="0.3" footer="0.3"/>
  <pageSetup paperSize="256" scale="4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rgb="FFFFFF00"/>
  </sheetPr>
  <dimension ref="A1:Q62"/>
  <sheetViews>
    <sheetView showGridLines="0" zoomScale="80" zoomScaleNormal="80" workbookViewId="0">
      <selection activeCell="J22" sqref="J22"/>
    </sheetView>
  </sheetViews>
  <sheetFormatPr baseColWidth="10" defaultRowHeight="14.4" x14ac:dyDescent="0.3"/>
  <cols>
    <col min="1" max="1" width="8.6640625" customWidth="1"/>
    <col min="3" max="3" width="14" customWidth="1"/>
    <col min="4" max="4" width="13.5546875" bestFit="1" customWidth="1"/>
    <col min="5" max="5" width="16.33203125" customWidth="1"/>
    <col min="6" max="6" width="13.6640625" customWidth="1"/>
    <col min="7" max="7" width="14.77734375" customWidth="1"/>
    <col min="8" max="8" width="17.88671875" bestFit="1" customWidth="1"/>
    <col min="9" max="10" width="20.109375" customWidth="1"/>
    <col min="11" max="11" width="8.88671875" customWidth="1"/>
    <col min="12" max="12" width="6.44140625" customWidth="1"/>
    <col min="13" max="13" width="8" customWidth="1"/>
    <col min="14" max="14" width="9.77734375" customWidth="1"/>
    <col min="15" max="15" width="8.5546875" customWidth="1"/>
    <col min="16" max="16" width="10.5546875" customWidth="1"/>
  </cols>
  <sheetData>
    <row r="1" spans="1:17" x14ac:dyDescent="0.3">
      <c r="A1" s="179" t="s">
        <v>78</v>
      </c>
    </row>
    <row r="2" spans="1:17" ht="115.8" customHeight="1" x14ac:dyDescent="0.3">
      <c r="A2" s="230"/>
    </row>
    <row r="3" spans="1:17" ht="15" thickBot="1" x14ac:dyDescent="0.35">
      <c r="I3" s="180" t="s">
        <v>79</v>
      </c>
      <c r="J3" s="313">
        <f>'Dimension prive en surface'!H18</f>
        <v>0</v>
      </c>
      <c r="K3" s="47" t="s">
        <v>109</v>
      </c>
    </row>
    <row r="4" spans="1:17" ht="15" thickBot="1" x14ac:dyDescent="0.35">
      <c r="B4" s="181" t="s">
        <v>108</v>
      </c>
      <c r="C4" s="181"/>
      <c r="D4" s="181"/>
      <c r="E4" s="181"/>
      <c r="I4" s="180" t="s">
        <v>125</v>
      </c>
      <c r="J4" s="182">
        <v>0.2</v>
      </c>
      <c r="K4" s="183"/>
    </row>
    <row r="5" spans="1:17" x14ac:dyDescent="0.3">
      <c r="I5" s="180" t="s">
        <v>126</v>
      </c>
      <c r="J5" s="182">
        <v>0.8</v>
      </c>
      <c r="K5" s="183"/>
    </row>
    <row r="6" spans="1:17" ht="24" customHeight="1" x14ac:dyDescent="0.3">
      <c r="E6" s="184"/>
      <c r="M6" s="343" t="s">
        <v>80</v>
      </c>
      <c r="N6" s="344"/>
      <c r="O6" s="344"/>
      <c r="P6" s="345"/>
    </row>
    <row r="7" spans="1:17" ht="48" x14ac:dyDescent="0.3">
      <c r="B7" s="112"/>
      <c r="C7" s="112"/>
      <c r="D7" s="185" t="s">
        <v>81</v>
      </c>
      <c r="E7" s="185" t="s">
        <v>82</v>
      </c>
      <c r="F7" s="185" t="s">
        <v>83</v>
      </c>
      <c r="G7" s="186" t="s">
        <v>84</v>
      </c>
      <c r="H7" s="186" t="s">
        <v>85</v>
      </c>
      <c r="I7" s="186" t="s">
        <v>86</v>
      </c>
      <c r="J7" s="186" t="s">
        <v>87</v>
      </c>
      <c r="K7" s="187"/>
      <c r="L7" s="188"/>
      <c r="M7" s="189">
        <v>360</v>
      </c>
      <c r="N7" s="189">
        <v>770</v>
      </c>
      <c r="O7" s="189">
        <v>3000</v>
      </c>
      <c r="P7" s="189">
        <v>5000</v>
      </c>
    </row>
    <row r="8" spans="1:17" x14ac:dyDescent="0.3">
      <c r="B8" s="346" t="s">
        <v>30</v>
      </c>
      <c r="C8" s="347"/>
      <c r="D8" s="300">
        <f>H23</f>
        <v>125</v>
      </c>
      <c r="E8" s="190">
        <f>'1. Stat dechet'!L20</f>
        <v>169.75947053793044</v>
      </c>
      <c r="F8" s="191">
        <v>1</v>
      </c>
      <c r="G8" s="301">
        <f>E8/(F8*52)</f>
        <v>3.2646052026525085</v>
      </c>
      <c r="H8" s="302">
        <f t="shared" ref="H8:H13" si="0">G8/D8*1000</f>
        <v>26.116841621220068</v>
      </c>
      <c r="I8" s="301">
        <f>G8*$J$3</f>
        <v>0</v>
      </c>
      <c r="J8" s="303">
        <f t="shared" ref="J8:J13" si="1">I8/D8*1000</f>
        <v>0</v>
      </c>
      <c r="L8" s="252" t="s">
        <v>57</v>
      </c>
      <c r="M8" s="262">
        <f>$J8/($J$5*M$7)</f>
        <v>0</v>
      </c>
      <c r="N8" s="262">
        <f>$J8/($J$5*N$7)</f>
        <v>0</v>
      </c>
      <c r="O8" s="262">
        <f>$J8/($J$5*O$7)</f>
        <v>0</v>
      </c>
      <c r="P8" s="262">
        <f>$J8/($J$5*P$7)</f>
        <v>0</v>
      </c>
      <c r="Q8" s="47"/>
    </row>
    <row r="9" spans="1:17" ht="14.4" customHeight="1" x14ac:dyDescent="0.3">
      <c r="B9" s="341" t="s">
        <v>33</v>
      </c>
      <c r="C9" s="342"/>
      <c r="D9" s="256">
        <f>H24</f>
        <v>400</v>
      </c>
      <c r="E9" s="250">
        <f>'1. Stat dechet'!L23</f>
        <v>48.298152685859407</v>
      </c>
      <c r="F9" s="251">
        <v>1</v>
      </c>
      <c r="G9" s="304">
        <f t="shared" ref="G9:G13" si="2">E9/(F9*52)</f>
        <v>0.92881062857421937</v>
      </c>
      <c r="H9" s="305">
        <f t="shared" si="0"/>
        <v>2.3220265714355484</v>
      </c>
      <c r="I9" s="304">
        <f>G9*$J$3</f>
        <v>0</v>
      </c>
      <c r="J9" s="306">
        <f t="shared" si="1"/>
        <v>0</v>
      </c>
      <c r="L9" s="249" t="s">
        <v>33</v>
      </c>
      <c r="M9" s="263" t="str">
        <f>"-"</f>
        <v>-</v>
      </c>
      <c r="N9" s="263" t="str">
        <f>"-"</f>
        <v>-</v>
      </c>
      <c r="O9" s="264">
        <v>3</v>
      </c>
      <c r="P9" s="263" t="str">
        <f>"-"</f>
        <v>-</v>
      </c>
      <c r="Q9" s="172" t="s">
        <v>117</v>
      </c>
    </row>
    <row r="10" spans="1:17" x14ac:dyDescent="0.3">
      <c r="B10" s="341" t="s">
        <v>31</v>
      </c>
      <c r="C10" s="342"/>
      <c r="D10" s="256">
        <f>H25</f>
        <v>50</v>
      </c>
      <c r="E10" s="250">
        <f>'1. Stat dechet'!L21</f>
        <v>85.08742618372726</v>
      </c>
      <c r="F10" s="251">
        <v>1</v>
      </c>
      <c r="G10" s="304">
        <f t="shared" si="2"/>
        <v>1.6362966573793705</v>
      </c>
      <c r="H10" s="305">
        <f t="shared" si="0"/>
        <v>32.725933147587405</v>
      </c>
      <c r="I10" s="304">
        <f>G10*$J$3</f>
        <v>0</v>
      </c>
      <c r="J10" s="306">
        <f>I10/D10*1000</f>
        <v>0</v>
      </c>
      <c r="L10" s="253" t="s">
        <v>31</v>
      </c>
      <c r="M10" s="265">
        <f>$J10/($J$5*M$7)</f>
        <v>0</v>
      </c>
      <c r="N10" s="265">
        <f>$J10/($J$5*N$7)</f>
        <v>0</v>
      </c>
      <c r="O10" s="265">
        <f>$J10/($J$5*O$7)</f>
        <v>0</v>
      </c>
      <c r="P10" s="265">
        <f>$J10/($J$5*P$7)</f>
        <v>0</v>
      </c>
      <c r="Q10" s="47"/>
    </row>
    <row r="11" spans="1:17" x14ac:dyDescent="0.3">
      <c r="B11" s="339" t="s">
        <v>32</v>
      </c>
      <c r="C11" s="348"/>
      <c r="D11" s="256">
        <f>H26</f>
        <v>400</v>
      </c>
      <c r="E11" s="250">
        <f>'1. Stat dechet'!L22</f>
        <v>88.232833869102976</v>
      </c>
      <c r="F11" s="251">
        <v>1</v>
      </c>
      <c r="G11" s="304">
        <f t="shared" si="2"/>
        <v>1.6967852667135188</v>
      </c>
      <c r="H11" s="305">
        <f t="shared" si="0"/>
        <v>4.2419631667837976</v>
      </c>
      <c r="I11" s="304">
        <f>G11*$J$3</f>
        <v>0</v>
      </c>
      <c r="J11" s="306">
        <f t="shared" si="1"/>
        <v>0</v>
      </c>
      <c r="L11" s="254" t="s">
        <v>52</v>
      </c>
      <c r="M11" s="266">
        <f>$J11/($J$5*M$7)</f>
        <v>0</v>
      </c>
      <c r="N11" s="267" t="s">
        <v>60</v>
      </c>
      <c r="O11" s="266" t="str">
        <f t="shared" ref="O11:P13" si="3">"-"</f>
        <v>-</v>
      </c>
      <c r="P11" s="266" t="str">
        <f t="shared" si="3"/>
        <v>-</v>
      </c>
      <c r="Q11" s="47" t="s">
        <v>123</v>
      </c>
    </row>
    <row r="12" spans="1:17" x14ac:dyDescent="0.3">
      <c r="B12" s="341" t="s">
        <v>34</v>
      </c>
      <c r="C12" s="342"/>
      <c r="D12" s="256">
        <v>30</v>
      </c>
      <c r="E12" s="250">
        <f>'1. Stat dechet'!L24</f>
        <v>4.6544223921645269</v>
      </c>
      <c r="F12" s="251">
        <v>5</v>
      </c>
      <c r="G12" s="304">
        <f t="shared" si="2"/>
        <v>1.7901624585248181E-2</v>
      </c>
      <c r="H12" s="305">
        <f t="shared" si="0"/>
        <v>0.59672081950827272</v>
      </c>
      <c r="I12" s="304">
        <f t="shared" ref="I12:I13" si="4">G12*$J$3</f>
        <v>0</v>
      </c>
      <c r="J12" s="306">
        <f t="shared" si="1"/>
        <v>0</v>
      </c>
      <c r="K12" s="200"/>
      <c r="L12" s="255" t="s">
        <v>45</v>
      </c>
      <c r="M12" s="268">
        <f>$J12/($J$5*M$7)</f>
        <v>0</v>
      </c>
      <c r="N12" s="269" t="s">
        <v>60</v>
      </c>
      <c r="O12" s="268" t="str">
        <f t="shared" si="3"/>
        <v>-</v>
      </c>
      <c r="P12" s="268" t="str">
        <f t="shared" si="3"/>
        <v>-</v>
      </c>
      <c r="Q12" s="47" t="s">
        <v>123</v>
      </c>
    </row>
    <row r="13" spans="1:17" x14ac:dyDescent="0.3">
      <c r="B13" s="335" t="s">
        <v>88</v>
      </c>
      <c r="C13" s="336"/>
      <c r="D13" s="307">
        <f>H28</f>
        <v>100</v>
      </c>
      <c r="E13" s="193">
        <f>'1. Stat dechet'!L25</f>
        <v>2.5014085396644146</v>
      </c>
      <c r="F13" s="194">
        <v>5</v>
      </c>
      <c r="G13" s="301">
        <f t="shared" si="2"/>
        <v>9.6208020756323644E-3</v>
      </c>
      <c r="H13" s="302">
        <f t="shared" si="0"/>
        <v>9.6208020756323648E-2</v>
      </c>
      <c r="I13" s="301">
        <f t="shared" si="4"/>
        <v>0</v>
      </c>
      <c r="J13" s="308">
        <f t="shared" si="1"/>
        <v>0</v>
      </c>
      <c r="L13" s="224" t="s">
        <v>53</v>
      </c>
      <c r="M13" s="270">
        <f>$J13/($J$5*M$7)</f>
        <v>0</v>
      </c>
      <c r="N13" s="271" t="s">
        <v>60</v>
      </c>
      <c r="O13" s="272" t="str">
        <f t="shared" si="3"/>
        <v>-</v>
      </c>
      <c r="P13" s="270" t="str">
        <f t="shared" si="3"/>
        <v>-</v>
      </c>
      <c r="Q13" s="47" t="s">
        <v>123</v>
      </c>
    </row>
    <row r="14" spans="1:17" x14ac:dyDescent="0.3">
      <c r="B14" s="337" t="s">
        <v>36</v>
      </c>
      <c r="C14" s="338"/>
      <c r="D14" s="195"/>
      <c r="E14" s="228">
        <f>SUM(E8:E13)</f>
        <v>398.533714208449</v>
      </c>
      <c r="F14" s="195"/>
      <c r="G14" s="196"/>
      <c r="H14" s="196"/>
      <c r="I14" s="195"/>
      <c r="J14" s="195"/>
      <c r="K14" s="187"/>
      <c r="L14" s="197"/>
      <c r="M14" s="198"/>
      <c r="N14" s="198"/>
      <c r="O14" s="198"/>
      <c r="P14" s="199"/>
      <c r="Q14" s="197"/>
    </row>
    <row r="15" spans="1:17" x14ac:dyDescent="0.3">
      <c r="B15" s="339" t="s">
        <v>37</v>
      </c>
      <c r="C15" s="340"/>
      <c r="D15" s="200"/>
      <c r="E15" s="201">
        <f>SUM(E9+E10+E11+E12+E13)</f>
        <v>228.77424367051859</v>
      </c>
      <c r="F15" s="200"/>
      <c r="G15" s="202"/>
      <c r="H15" s="202"/>
      <c r="I15" s="200"/>
      <c r="J15" s="200"/>
      <c r="K15" s="187"/>
      <c r="L15" s="197"/>
      <c r="M15" s="197"/>
      <c r="N15" s="197"/>
      <c r="O15" s="197"/>
      <c r="P15" s="197"/>
      <c r="Q15" s="197"/>
    </row>
    <row r="16" spans="1:17" x14ac:dyDescent="0.3">
      <c r="B16" s="335" t="s">
        <v>38</v>
      </c>
      <c r="C16" s="336"/>
      <c r="D16" s="203"/>
      <c r="E16" s="204">
        <f>E8+E10+E11</f>
        <v>343.07973059076068</v>
      </c>
      <c r="F16" s="203"/>
      <c r="G16" s="205"/>
      <c r="H16" s="205"/>
      <c r="I16" s="203"/>
      <c r="J16" s="203"/>
      <c r="K16" s="187"/>
      <c r="L16" s="197"/>
      <c r="M16" s="197"/>
      <c r="N16" s="197"/>
      <c r="O16" s="197"/>
      <c r="P16" s="197"/>
      <c r="Q16" s="197"/>
    </row>
    <row r="17" spans="2:13" x14ac:dyDescent="0.3">
      <c r="B17" s="206"/>
    </row>
    <row r="18" spans="2:13" ht="15" thickBot="1" x14ac:dyDescent="0.35"/>
    <row r="19" spans="2:13" ht="15" thickBot="1" x14ac:dyDescent="0.35">
      <c r="B19" s="181" t="s">
        <v>89</v>
      </c>
      <c r="C19" s="207"/>
      <c r="D19" s="208"/>
    </row>
    <row r="20" spans="2:13" x14ac:dyDescent="0.3">
      <c r="I20" s="209"/>
      <c r="J20" s="209"/>
      <c r="K20" s="209"/>
      <c r="L20" s="209"/>
      <c r="M20" s="210"/>
    </row>
    <row r="21" spans="2:13" x14ac:dyDescent="0.3">
      <c r="I21" s="209"/>
      <c r="J21" s="209"/>
      <c r="K21" s="209"/>
      <c r="L21" s="209"/>
    </row>
    <row r="22" spans="2:13" ht="35.4" customHeight="1" x14ac:dyDescent="0.3">
      <c r="B22" s="333" t="s">
        <v>90</v>
      </c>
      <c r="C22" s="334"/>
      <c r="D22" s="257" t="s">
        <v>91</v>
      </c>
      <c r="E22" s="258" t="s">
        <v>92</v>
      </c>
      <c r="F22" s="258" t="s">
        <v>93</v>
      </c>
      <c r="G22" s="259" t="s">
        <v>94</v>
      </c>
      <c r="H22" s="260" t="s">
        <v>115</v>
      </c>
      <c r="I22" s="209"/>
      <c r="J22" s="211"/>
      <c r="K22" s="212"/>
      <c r="L22" s="209"/>
    </row>
    <row r="23" spans="2:13" x14ac:dyDescent="0.3">
      <c r="B23" s="213" t="s">
        <v>30</v>
      </c>
      <c r="C23" s="214"/>
      <c r="D23" s="287" t="s">
        <v>95</v>
      </c>
      <c r="E23" s="288">
        <v>150</v>
      </c>
      <c r="F23" s="289">
        <v>100</v>
      </c>
      <c r="G23" s="289"/>
      <c r="H23" s="190">
        <v>125</v>
      </c>
      <c r="I23" s="209"/>
      <c r="J23" s="209"/>
      <c r="K23" s="215"/>
      <c r="L23" s="216"/>
    </row>
    <row r="24" spans="2:13" x14ac:dyDescent="0.3">
      <c r="B24" s="217" t="s">
        <v>33</v>
      </c>
      <c r="C24" s="218"/>
      <c r="D24" s="290" t="s">
        <v>96</v>
      </c>
      <c r="E24" s="291">
        <v>400</v>
      </c>
      <c r="F24" s="292">
        <v>350</v>
      </c>
      <c r="G24" s="292">
        <v>400</v>
      </c>
      <c r="H24" s="286">
        <v>400</v>
      </c>
      <c r="I24" s="209"/>
      <c r="J24" s="209"/>
      <c r="K24" s="215"/>
      <c r="L24" s="216"/>
    </row>
    <row r="25" spans="2:13" x14ac:dyDescent="0.3">
      <c r="B25" s="217" t="s">
        <v>31</v>
      </c>
      <c r="C25" s="218"/>
      <c r="D25" s="293" t="s">
        <v>97</v>
      </c>
      <c r="E25" s="294">
        <v>200</v>
      </c>
      <c r="F25" s="295">
        <v>200</v>
      </c>
      <c r="G25" s="296">
        <v>280</v>
      </c>
      <c r="H25" s="286">
        <v>50</v>
      </c>
      <c r="I25" s="261" t="s">
        <v>116</v>
      </c>
      <c r="J25" s="209"/>
      <c r="K25" s="215"/>
      <c r="L25" s="216"/>
    </row>
    <row r="26" spans="2:13" x14ac:dyDescent="0.3">
      <c r="B26" s="219" t="s">
        <v>32</v>
      </c>
      <c r="C26" s="220"/>
      <c r="D26" s="293" t="s">
        <v>98</v>
      </c>
      <c r="E26" s="294">
        <v>500</v>
      </c>
      <c r="F26" s="296">
        <v>500</v>
      </c>
      <c r="G26" s="296">
        <v>300</v>
      </c>
      <c r="H26" s="250">
        <v>400</v>
      </c>
      <c r="I26" s="209"/>
      <c r="J26" s="209"/>
      <c r="K26" s="221"/>
      <c r="L26" s="216"/>
      <c r="M26" s="314"/>
    </row>
    <row r="27" spans="2:13" x14ac:dyDescent="0.3">
      <c r="B27" s="217" t="s">
        <v>45</v>
      </c>
      <c r="C27" s="218"/>
      <c r="D27" s="293"/>
      <c r="E27" s="294"/>
      <c r="F27" s="296">
        <v>30</v>
      </c>
      <c r="G27" s="296"/>
      <c r="H27" s="192">
        <v>30</v>
      </c>
      <c r="I27" s="209"/>
      <c r="J27" s="209"/>
      <c r="K27" s="221"/>
      <c r="L27" s="216"/>
    </row>
    <row r="28" spans="2:13" x14ac:dyDescent="0.3">
      <c r="B28" s="222" t="s">
        <v>88</v>
      </c>
      <c r="C28" s="223"/>
      <c r="D28" s="297" t="s">
        <v>99</v>
      </c>
      <c r="E28" s="298"/>
      <c r="F28" s="299"/>
      <c r="G28" s="299"/>
      <c r="H28" s="285">
        <v>100</v>
      </c>
      <c r="K28" s="225"/>
      <c r="L28" s="143"/>
    </row>
    <row r="29" spans="2:13" ht="22.8" customHeight="1" x14ac:dyDescent="0.3">
      <c r="D29" s="231" t="s">
        <v>100</v>
      </c>
      <c r="E29" s="232"/>
      <c r="F29" s="233" t="s">
        <v>101</v>
      </c>
      <c r="G29" s="234" t="s">
        <v>102</v>
      </c>
    </row>
    <row r="31" spans="2:13" ht="15" thickBot="1" x14ac:dyDescent="0.35"/>
    <row r="32" spans="2:13" ht="15" thickBot="1" x14ac:dyDescent="0.35">
      <c r="B32" s="181" t="s">
        <v>110</v>
      </c>
      <c r="C32" s="208"/>
    </row>
    <row r="34" spans="1:11" x14ac:dyDescent="0.3">
      <c r="B34" s="284" t="s">
        <v>120</v>
      </c>
    </row>
    <row r="35" spans="1:11" ht="15" customHeight="1" x14ac:dyDescent="0.3"/>
    <row r="36" spans="1:11" s="47" customFormat="1" ht="24.6" x14ac:dyDescent="0.3">
      <c r="D36" s="278" t="s">
        <v>103</v>
      </c>
      <c r="E36" s="244" t="s">
        <v>118</v>
      </c>
      <c r="J36"/>
      <c r="K36"/>
    </row>
    <row r="37" spans="1:11" s="47" customFormat="1" ht="14.1" customHeight="1" x14ac:dyDescent="0.3">
      <c r="C37" s="242" t="s">
        <v>112</v>
      </c>
      <c r="D37" s="282">
        <f>ROUNDUP(M11,0)+ROUNDUP(M12,0)+ROUNDUP(M13,0)</f>
        <v>0</v>
      </c>
      <c r="E37" s="248">
        <f>D37*1</f>
        <v>0</v>
      </c>
      <c r="J37"/>
      <c r="K37"/>
    </row>
    <row r="38" spans="1:11" s="47" customFormat="1" ht="27" customHeight="1" x14ac:dyDescent="0.3">
      <c r="C38" s="275" t="s">
        <v>111</v>
      </c>
      <c r="D38" s="282">
        <f>ROUNDUP(P8,0)+ROUNDUP(P10,0)+3</f>
        <v>3</v>
      </c>
      <c r="E38" s="248">
        <f>IF(D38=0,0,(D38*2+1)*3)</f>
        <v>21</v>
      </c>
      <c r="J38"/>
      <c r="K38"/>
    </row>
    <row r="39" spans="1:11" s="47" customFormat="1" ht="27" customHeight="1" x14ac:dyDescent="0.3">
      <c r="C39" s="274" t="s">
        <v>113</v>
      </c>
      <c r="D39" s="273">
        <v>3</v>
      </c>
      <c r="E39" s="248">
        <f>D39*1</f>
        <v>3</v>
      </c>
      <c r="J39"/>
      <c r="K39"/>
    </row>
    <row r="40" spans="1:11" s="47" customFormat="1" ht="27" customHeight="1" thickBot="1" x14ac:dyDescent="0.35">
      <c r="C40" s="310" t="s">
        <v>114</v>
      </c>
      <c r="D40" s="311">
        <v>0</v>
      </c>
      <c r="E40" s="312">
        <f>IF(D40=0,0,(D40*2+1)*3)</f>
        <v>0</v>
      </c>
      <c r="J40"/>
      <c r="K40"/>
    </row>
    <row r="41" spans="1:11" ht="15" thickBot="1" x14ac:dyDescent="0.35">
      <c r="B41" s="281"/>
      <c r="C41" s="309"/>
      <c r="D41" s="246" t="s">
        <v>104</v>
      </c>
      <c r="E41" s="247">
        <f>ROUNDUP(SUM(E37:E40)*1.1,0)</f>
        <v>27</v>
      </c>
      <c r="F41" s="243"/>
    </row>
    <row r="43" spans="1:11" x14ac:dyDescent="0.3">
      <c r="A43" s="184"/>
      <c r="B43" s="239"/>
      <c r="C43" s="184"/>
      <c r="D43" s="184"/>
      <c r="E43" s="184"/>
      <c r="F43" s="184"/>
    </row>
    <row r="44" spans="1:11" x14ac:dyDescent="0.3">
      <c r="A44" s="184"/>
      <c r="B44" s="284" t="s">
        <v>121</v>
      </c>
      <c r="C44" s="184"/>
      <c r="D44" s="184"/>
      <c r="E44" s="241"/>
      <c r="F44" s="184"/>
    </row>
    <row r="45" spans="1:11" x14ac:dyDescent="0.3">
      <c r="A45" s="184"/>
      <c r="B45" s="184"/>
      <c r="C45" s="184"/>
      <c r="D45" s="184"/>
      <c r="E45" s="184"/>
      <c r="F45" s="184"/>
    </row>
    <row r="46" spans="1:11" ht="24.6" x14ac:dyDescent="0.3">
      <c r="A46" s="184"/>
      <c r="B46" s="184"/>
      <c r="C46" s="47"/>
      <c r="D46" s="278" t="s">
        <v>103</v>
      </c>
      <c r="E46" s="244" t="s">
        <v>119</v>
      </c>
    </row>
    <row r="47" spans="1:11" x14ac:dyDescent="0.3">
      <c r="A47" s="184"/>
      <c r="B47" s="184"/>
      <c r="C47" s="242" t="s">
        <v>112</v>
      </c>
      <c r="D47" s="283">
        <f>ROUNDUP(M11,0)</f>
        <v>0</v>
      </c>
      <c r="E47" s="279">
        <f>D47*1</f>
        <v>0</v>
      </c>
    </row>
    <row r="48" spans="1:11" ht="24.6" x14ac:dyDescent="0.3">
      <c r="C48" s="274" t="s">
        <v>111</v>
      </c>
      <c r="D48" s="282">
        <f>ROUNDUP(P8,0)+ROUNDUP(P10,0)</f>
        <v>0</v>
      </c>
      <c r="E48" s="248">
        <f>IF(D48=0,0,(D48*2+1)*3)</f>
        <v>0</v>
      </c>
    </row>
    <row r="49" spans="2:8" ht="24.6" x14ac:dyDescent="0.3">
      <c r="C49" s="245" t="s">
        <v>113</v>
      </c>
      <c r="D49" s="276">
        <v>0</v>
      </c>
      <c r="E49" s="248">
        <f>D49*1</f>
        <v>0</v>
      </c>
    </row>
    <row r="50" spans="2:8" ht="18" customHeight="1" thickBot="1" x14ac:dyDescent="0.35">
      <c r="C50" s="277" t="s">
        <v>114</v>
      </c>
      <c r="D50" s="240">
        <v>0</v>
      </c>
      <c r="E50" s="248">
        <f>IF(D50=0,0,(D50*2+1)*3)</f>
        <v>0</v>
      </c>
    </row>
    <row r="51" spans="2:8" ht="15" thickBot="1" x14ac:dyDescent="0.35">
      <c r="C51" s="280"/>
      <c r="D51" s="226" t="s">
        <v>104</v>
      </c>
      <c r="E51" s="227">
        <f>ROUNDUP(SUM(E47:E50)*1.2,0)</f>
        <v>0</v>
      </c>
      <c r="F51" s="243"/>
    </row>
    <row r="52" spans="2:8" x14ac:dyDescent="0.3">
      <c r="F52" s="197"/>
    </row>
    <row r="53" spans="2:8" x14ac:dyDescent="0.3">
      <c r="B53" s="284" t="s">
        <v>127</v>
      </c>
      <c r="C53" s="184"/>
      <c r="D53" s="184"/>
      <c r="E53" s="241"/>
      <c r="F53" s="184"/>
      <c r="G53" s="318"/>
      <c r="H53" s="318"/>
    </row>
    <row r="54" spans="2:8" x14ac:dyDescent="0.3">
      <c r="B54" s="184"/>
      <c r="C54" s="184"/>
      <c r="D54" s="184"/>
      <c r="E54" s="184"/>
      <c r="F54" s="184"/>
      <c r="G54" s="318"/>
      <c r="H54" s="318"/>
    </row>
    <row r="55" spans="2:8" x14ac:dyDescent="0.3">
      <c r="B55" s="184"/>
      <c r="C55" s="47"/>
      <c r="D55" s="47"/>
      <c r="E55" s="320"/>
      <c r="F55" s="318"/>
      <c r="G55" s="318"/>
    </row>
    <row r="56" spans="2:8" x14ac:dyDescent="0.3">
      <c r="B56" s="184"/>
      <c r="C56" s="242" t="s">
        <v>128</v>
      </c>
      <c r="D56" s="319">
        <f>IF(M8&gt;1,ROUNDUP(N8,0)*2,ROUNDUP(M8,0))</f>
        <v>0</v>
      </c>
      <c r="E56" s="257" t="s">
        <v>132</v>
      </c>
      <c r="F56" s="318"/>
      <c r="G56" s="318"/>
    </row>
    <row r="57" spans="2:8" x14ac:dyDescent="0.3">
      <c r="B57" s="318"/>
      <c r="C57" s="274" t="s">
        <v>130</v>
      </c>
      <c r="D57" s="319">
        <f>IF(M10&gt;1,ROUNDUP(N10,0)*2,ROUNDUP(M10,0))</f>
        <v>0</v>
      </c>
      <c r="E57" s="257" t="s">
        <v>132</v>
      </c>
      <c r="F57" s="318"/>
      <c r="G57" s="318"/>
    </row>
    <row r="58" spans="2:8" s="318" customFormat="1" x14ac:dyDescent="0.3">
      <c r="C58" s="245" t="s">
        <v>129</v>
      </c>
      <c r="D58" s="319">
        <f>ROUNDUP(M11,0)</f>
        <v>0</v>
      </c>
      <c r="E58" s="257" t="s">
        <v>132</v>
      </c>
    </row>
    <row r="59" spans="2:8" ht="25.2" thickBot="1" x14ac:dyDescent="0.35">
      <c r="B59" s="318"/>
      <c r="C59" s="310" t="s">
        <v>113</v>
      </c>
      <c r="D59" s="276">
        <v>0</v>
      </c>
      <c r="E59" s="257" t="s">
        <v>131</v>
      </c>
      <c r="F59" s="318"/>
      <c r="G59" s="318"/>
    </row>
    <row r="60" spans="2:8" ht="15" thickBot="1" x14ac:dyDescent="0.35">
      <c r="B60" s="318"/>
      <c r="C60" s="226" t="s">
        <v>104</v>
      </c>
      <c r="D60" s="321">
        <f>ROUNDUP(SUM(D56:D59)*1.1,0)</f>
        <v>0</v>
      </c>
      <c r="E60" s="243"/>
      <c r="F60" s="318"/>
      <c r="G60" s="318"/>
    </row>
    <row r="61" spans="2:8" s="318" customFormat="1" x14ac:dyDescent="0.3">
      <c r="C61" s="197"/>
      <c r="D61" s="317"/>
      <c r="E61" s="316"/>
      <c r="F61" s="316"/>
    </row>
    <row r="62" spans="2:8" x14ac:dyDescent="0.3">
      <c r="B62" t="s">
        <v>122</v>
      </c>
    </row>
  </sheetData>
  <mergeCells count="11">
    <mergeCell ref="B12:C12"/>
    <mergeCell ref="M6:P6"/>
    <mergeCell ref="B8:C8"/>
    <mergeCell ref="B9:C9"/>
    <mergeCell ref="B10:C10"/>
    <mergeCell ref="B11:C11"/>
    <mergeCell ref="B22:C22"/>
    <mergeCell ref="B13:C13"/>
    <mergeCell ref="B14:C14"/>
    <mergeCell ref="B15:C15"/>
    <mergeCell ref="B16:C1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pageSetUpPr fitToPage="1"/>
  </sheetPr>
  <dimension ref="B1:R43"/>
  <sheetViews>
    <sheetView showGridLines="0" tabSelected="1" zoomScale="80" zoomScaleNormal="80" workbookViewId="0">
      <selection activeCell="C13" sqref="C13"/>
    </sheetView>
  </sheetViews>
  <sheetFormatPr baseColWidth="10" defaultColWidth="11.5546875" defaultRowHeight="14.4" x14ac:dyDescent="0.3"/>
  <cols>
    <col min="1" max="1" width="1.33203125" style="1" customWidth="1"/>
    <col min="2" max="2" width="21.44140625" style="1" customWidth="1"/>
    <col min="3" max="3" width="14.5546875" style="1" customWidth="1"/>
    <col min="4" max="4" width="25.6640625" style="1" customWidth="1"/>
    <col min="5" max="5" width="2.88671875" style="1" customWidth="1"/>
    <col min="6" max="6" width="3.5546875" style="1" customWidth="1"/>
    <col min="7" max="7" width="23.6640625" style="1" customWidth="1"/>
    <col min="8" max="8" width="11.5546875" style="1"/>
    <col min="9" max="9" width="3.33203125" style="1" customWidth="1"/>
    <col min="10" max="10" width="14.6640625" style="1" customWidth="1"/>
    <col min="11" max="11" width="1.6640625" style="1" customWidth="1"/>
    <col min="12" max="12" width="11.5546875" style="1"/>
    <col min="13" max="13" width="13.5546875" style="1" customWidth="1"/>
    <col min="14" max="16384" width="11.5546875" style="1"/>
  </cols>
  <sheetData>
    <row r="1" spans="2:18" ht="6.6" customHeight="1" x14ac:dyDescent="0.25"/>
    <row r="2" spans="2:18" ht="16.95" customHeight="1" x14ac:dyDescent="0.4">
      <c r="B2" s="2" t="s">
        <v>18</v>
      </c>
      <c r="C2" s="3"/>
      <c r="D2" s="3"/>
      <c r="E2" s="3"/>
      <c r="F2" s="3"/>
      <c r="G2" s="3"/>
      <c r="H2" s="3"/>
      <c r="I2" s="3"/>
      <c r="J2" s="3"/>
      <c r="K2" s="3"/>
      <c r="L2" s="3"/>
      <c r="M2" s="3"/>
      <c r="N2" s="3"/>
      <c r="O2" s="3"/>
      <c r="P2" s="3"/>
      <c r="Q2" s="3"/>
      <c r="R2" s="3"/>
    </row>
    <row r="3" spans="2:18" ht="6.6" customHeight="1" thickBot="1" x14ac:dyDescent="0.3">
      <c r="K3" s="4"/>
    </row>
    <row r="4" spans="2:18" ht="15" customHeight="1" thickBot="1" x14ac:dyDescent="0.35">
      <c r="B4" s="238" t="s">
        <v>16</v>
      </c>
      <c r="K4" s="4"/>
      <c r="L4" s="238" t="s">
        <v>17</v>
      </c>
      <c r="M4" s="238"/>
    </row>
    <row r="5" spans="2:18" ht="5.4" customHeight="1" x14ac:dyDescent="0.25">
      <c r="K5" s="4"/>
    </row>
    <row r="6" spans="2:18" x14ac:dyDescent="0.3">
      <c r="B6" s="8" t="s">
        <v>20</v>
      </c>
      <c r="J6" s="5"/>
      <c r="K6" s="24"/>
    </row>
    <row r="7" spans="2:18" x14ac:dyDescent="0.3">
      <c r="B7" s="327" t="s">
        <v>27</v>
      </c>
      <c r="J7" s="5"/>
    </row>
    <row r="8" spans="2:18" ht="7.2" customHeight="1" x14ac:dyDescent="0.25">
      <c r="J8" s="5"/>
    </row>
    <row r="9" spans="2:18" x14ac:dyDescent="0.3">
      <c r="B9" s="3"/>
      <c r="D9" s="6" t="s">
        <v>6</v>
      </c>
      <c r="E9" s="7"/>
      <c r="F9" s="7"/>
      <c r="J9" s="5"/>
    </row>
    <row r="10" spans="2:18" ht="9.6" customHeight="1" x14ac:dyDescent="0.25">
      <c r="J10" s="5"/>
    </row>
    <row r="11" spans="2:18" x14ac:dyDescent="0.3">
      <c r="B11" s="235" t="s">
        <v>7</v>
      </c>
      <c r="C11" s="236"/>
      <c r="D11" s="237"/>
      <c r="J11" s="5"/>
    </row>
    <row r="12" spans="2:18" ht="6.6" customHeight="1" x14ac:dyDescent="0.3">
      <c r="J12" s="5"/>
    </row>
    <row r="13" spans="2:18" x14ac:dyDescent="0.3">
      <c r="B13" s="229" t="s">
        <v>7</v>
      </c>
      <c r="C13" s="359"/>
      <c r="D13" s="1" t="s">
        <v>106</v>
      </c>
      <c r="J13" s="5"/>
    </row>
    <row r="14" spans="2:18" ht="6.6" customHeight="1" x14ac:dyDescent="0.3">
      <c r="B14" s="229"/>
      <c r="C14" s="328"/>
      <c r="J14" s="5"/>
    </row>
    <row r="15" spans="2:18" ht="19.2" customHeight="1" x14ac:dyDescent="0.3">
      <c r="B15" s="8" t="s">
        <v>10</v>
      </c>
      <c r="J15" s="5"/>
    </row>
    <row r="16" spans="2:18" x14ac:dyDescent="0.3">
      <c r="B16" s="9" t="s">
        <v>5</v>
      </c>
      <c r="E16" s="24"/>
      <c r="F16" s="24"/>
      <c r="G16" s="9"/>
      <c r="J16" s="5"/>
    </row>
    <row r="17" spans="2:13" ht="6" customHeight="1" x14ac:dyDescent="0.3">
      <c r="E17" s="27"/>
      <c r="F17" s="24"/>
      <c r="J17" s="5"/>
    </row>
    <row r="18" spans="2:13" ht="57.6" customHeight="1" x14ac:dyDescent="0.3">
      <c r="B18" s="10" t="s">
        <v>23</v>
      </c>
      <c r="C18" s="10" t="s">
        <v>24</v>
      </c>
      <c r="D18" s="11" t="s">
        <v>11</v>
      </c>
      <c r="E18" s="27"/>
      <c r="F18" s="24"/>
      <c r="G18" s="325" t="s">
        <v>107</v>
      </c>
      <c r="H18" s="326">
        <f>MAX(C13,C25,H25)</f>
        <v>0</v>
      </c>
      <c r="J18" s="5"/>
    </row>
    <row r="19" spans="2:13" x14ac:dyDescent="0.3">
      <c r="B19" s="12" t="s">
        <v>0</v>
      </c>
      <c r="C19" s="359"/>
      <c r="D19" s="13"/>
      <c r="E19" s="27"/>
      <c r="F19" s="24"/>
      <c r="G19" s="229"/>
      <c r="J19" s="5"/>
    </row>
    <row r="20" spans="2:13" x14ac:dyDescent="0.3">
      <c r="B20" s="12" t="s">
        <v>1</v>
      </c>
      <c r="C20" s="359"/>
      <c r="D20" s="13"/>
      <c r="E20" s="27"/>
      <c r="F20" s="24"/>
      <c r="G20" s="25"/>
      <c r="H20" s="25"/>
      <c r="I20" s="35"/>
      <c r="J20" s="36"/>
    </row>
    <row r="21" spans="2:13" x14ac:dyDescent="0.3">
      <c r="B21" s="12" t="s">
        <v>2</v>
      </c>
      <c r="C21" s="359"/>
      <c r="D21" s="13">
        <v>6</v>
      </c>
      <c r="E21" s="27"/>
      <c r="F21" s="24"/>
      <c r="G21" s="9" t="s">
        <v>8</v>
      </c>
      <c r="H21" s="26"/>
      <c r="I21" s="35"/>
      <c r="J21" s="36"/>
    </row>
    <row r="22" spans="2:13" x14ac:dyDescent="0.3">
      <c r="B22" s="12" t="s">
        <v>3</v>
      </c>
      <c r="C22" s="359"/>
      <c r="D22" s="13">
        <v>2</v>
      </c>
      <c r="E22" s="27"/>
      <c r="F22" s="24"/>
      <c r="I22" s="35"/>
      <c r="J22" s="36"/>
    </row>
    <row r="23" spans="2:13" ht="16.2" x14ac:dyDescent="0.3">
      <c r="B23" s="12" t="s">
        <v>4</v>
      </c>
      <c r="C23" s="359"/>
      <c r="D23" s="13"/>
      <c r="E23" s="27"/>
      <c r="F23" s="24"/>
      <c r="G23" s="32" t="s">
        <v>9</v>
      </c>
      <c r="H23" s="359"/>
      <c r="I23" s="34"/>
      <c r="J23" s="36"/>
    </row>
    <row r="24" spans="2:13" ht="4.95" customHeight="1" thickBot="1" x14ac:dyDescent="0.35">
      <c r="B24" s="14"/>
      <c r="C24" s="15"/>
      <c r="D24" s="16"/>
      <c r="E24" s="27"/>
      <c r="F24" s="24"/>
      <c r="I24" s="35"/>
      <c r="J24" s="36"/>
    </row>
    <row r="25" spans="2:13" ht="15" thickBot="1" x14ac:dyDescent="0.35">
      <c r="B25" s="17" t="s">
        <v>7</v>
      </c>
      <c r="C25" s="18">
        <f>ROUNDUP(C19*1.5+C20*2+C21*2.5+C22*3.5+C23*4.5,0)</f>
        <v>0</v>
      </c>
      <c r="E25" s="27"/>
      <c r="F25" s="24"/>
      <c r="G25" s="17" t="s">
        <v>7</v>
      </c>
      <c r="H25" s="18">
        <f>ROUNDUP(H23/50,0)</f>
        <v>0</v>
      </c>
      <c r="I25" s="35"/>
      <c r="J25" s="36"/>
    </row>
    <row r="26" spans="2:13" ht="12.6" customHeight="1" x14ac:dyDescent="0.3">
      <c r="E26" s="27"/>
      <c r="F26" s="24"/>
      <c r="I26" s="35"/>
      <c r="J26" s="36"/>
    </row>
    <row r="27" spans="2:13" x14ac:dyDescent="0.3">
      <c r="B27" s="349" t="s">
        <v>12</v>
      </c>
      <c r="C27" s="350"/>
      <c r="D27" s="351"/>
      <c r="I27" s="35"/>
      <c r="J27" s="36"/>
      <c r="K27" s="19"/>
      <c r="L27" s="19"/>
      <c r="M27" s="19"/>
    </row>
    <row r="28" spans="2:13" ht="3.6" customHeight="1" x14ac:dyDescent="0.3">
      <c r="I28" s="35"/>
      <c r="J28" s="36"/>
      <c r="K28" s="19"/>
      <c r="L28" s="19"/>
      <c r="M28" s="19"/>
    </row>
    <row r="29" spans="2:13" x14ac:dyDescent="0.3">
      <c r="B29" s="1" t="s">
        <v>21</v>
      </c>
      <c r="I29" s="35"/>
      <c r="J29" s="36"/>
      <c r="K29" s="19"/>
      <c r="L29" s="19"/>
      <c r="M29" s="19"/>
    </row>
    <row r="30" spans="2:13" ht="3.6" customHeight="1" x14ac:dyDescent="0.3">
      <c r="I30" s="35"/>
      <c r="J30" s="36"/>
      <c r="K30" s="19"/>
      <c r="L30" s="19"/>
      <c r="M30" s="19"/>
    </row>
    <row r="31" spans="2:13" x14ac:dyDescent="0.3">
      <c r="B31" s="20"/>
      <c r="C31" s="21"/>
      <c r="D31" s="21"/>
      <c r="E31" s="19"/>
      <c r="F31" s="33"/>
      <c r="G31" s="39"/>
      <c r="H31" s="39"/>
      <c r="I31" s="44"/>
      <c r="J31" s="36"/>
      <c r="K31" s="19"/>
      <c r="L31" s="19"/>
      <c r="M31" s="19"/>
    </row>
    <row r="32" spans="2:13" x14ac:dyDescent="0.3">
      <c r="B32" s="22" t="s">
        <v>14</v>
      </c>
      <c r="C32" s="352" t="str">
        <f>IF('2. Dimension ecopoint'!M8&gt;1,CONCATENATE(ROUNDUP('2. Dimension ecopoint'!M8,0)," x 360 l ou ",ROUNDUP('2. Dimension ecopoint'!N8,0)," x 770 l"),CONCATENATE(ROUNDUP('2. Dimension ecopoint'!M8,0)," x 360 l"))</f>
        <v>0 x 360 l</v>
      </c>
      <c r="D32" s="352"/>
      <c r="E32" s="19"/>
      <c r="F32" s="33"/>
      <c r="G32" s="40"/>
      <c r="H32" s="41"/>
      <c r="I32" s="44"/>
      <c r="J32" s="37"/>
      <c r="K32" s="19"/>
      <c r="L32" s="19"/>
      <c r="M32" s="19"/>
    </row>
    <row r="33" spans="2:13" x14ac:dyDescent="0.3">
      <c r="B33" s="22" t="s">
        <v>15</v>
      </c>
      <c r="C33" s="352" t="str">
        <f>IF('2. Dimension ecopoint'!M10&gt;1,CONCATENATE(ROUNDUP('2. Dimension ecopoint'!M10,0)," x 360 l ou ",ROUNDUP('2. Dimension ecopoint'!N10,0)," x 770 l"),CONCATENATE(ROUNDUP('2. Dimension ecopoint'!M10,0)," x 360 l"))</f>
        <v>0 x 360 l</v>
      </c>
      <c r="D33" s="352"/>
      <c r="E33" s="19"/>
      <c r="F33" s="33"/>
      <c r="G33" s="40"/>
      <c r="H33" s="41"/>
      <c r="I33" s="44"/>
      <c r="J33" s="37"/>
      <c r="K33" s="19"/>
      <c r="L33" s="19"/>
      <c r="M33" s="19"/>
    </row>
    <row r="34" spans="2:13" x14ac:dyDescent="0.3">
      <c r="B34" s="22" t="s">
        <v>13</v>
      </c>
      <c r="C34" s="352" t="str">
        <f>CONCATENATE(ROUNDUP('2. Dimension ecopoint'!M11,0)," x 360 l")</f>
        <v>0 x 360 l</v>
      </c>
      <c r="D34" s="352"/>
      <c r="E34" s="19"/>
      <c r="F34" s="33"/>
      <c r="G34" s="40"/>
      <c r="H34" s="41"/>
      <c r="I34" s="44"/>
      <c r="J34" s="37"/>
      <c r="K34" s="19"/>
      <c r="L34" s="19"/>
      <c r="M34" s="19"/>
    </row>
    <row r="35" spans="2:13" ht="15" customHeight="1" x14ac:dyDescent="0.3">
      <c r="E35" s="19"/>
      <c r="F35" s="33"/>
      <c r="G35" s="42"/>
      <c r="H35" s="42"/>
      <c r="I35" s="38"/>
      <c r="J35" s="36"/>
      <c r="K35" s="19"/>
      <c r="L35" s="19"/>
      <c r="M35" s="19"/>
    </row>
    <row r="36" spans="2:13" x14ac:dyDescent="0.3">
      <c r="B36" s="349" t="s">
        <v>19</v>
      </c>
      <c r="C36" s="350"/>
      <c r="D36" s="351"/>
      <c r="E36" s="19"/>
      <c r="F36" s="33"/>
      <c r="G36" s="33"/>
      <c r="H36" s="33"/>
      <c r="I36" s="35"/>
      <c r="J36" s="36"/>
      <c r="K36" s="19"/>
      <c r="L36" s="19"/>
      <c r="M36" s="19"/>
    </row>
    <row r="37" spans="2:13" ht="7.2" customHeight="1" x14ac:dyDescent="0.3">
      <c r="F37" s="33"/>
      <c r="G37" s="33"/>
      <c r="H37" s="33"/>
      <c r="I37" s="35"/>
      <c r="J37" s="36"/>
      <c r="K37" s="19"/>
      <c r="L37" s="19"/>
      <c r="M37" s="19"/>
    </row>
    <row r="38" spans="2:13" x14ac:dyDescent="0.3">
      <c r="B38" s="1" t="s">
        <v>22</v>
      </c>
      <c r="F38" s="33"/>
      <c r="G38" s="43">
        <f>'2. Dimension ecopoint'!D60</f>
        <v>0</v>
      </c>
      <c r="H38" s="33"/>
      <c r="I38" s="35"/>
      <c r="J38" s="36"/>
      <c r="K38" s="19"/>
      <c r="L38" s="19"/>
      <c r="M38" s="19"/>
    </row>
    <row r="39" spans="2:13" x14ac:dyDescent="0.3">
      <c r="C39" s="30"/>
      <c r="D39" s="30"/>
      <c r="E39" s="7"/>
      <c r="I39" s="35"/>
      <c r="J39" s="36"/>
    </row>
    <row r="40" spans="2:13" x14ac:dyDescent="0.3">
      <c r="B40" s="322"/>
      <c r="C40" s="30"/>
      <c r="D40" s="30"/>
      <c r="E40" s="7"/>
      <c r="I40" s="35"/>
      <c r="J40" s="37"/>
      <c r="L40" s="31" t="s">
        <v>26</v>
      </c>
    </row>
    <row r="41" spans="2:13" x14ac:dyDescent="0.3">
      <c r="B41" s="31"/>
      <c r="C41" s="29"/>
      <c r="D41" s="29"/>
      <c r="E41" s="7"/>
      <c r="I41" s="35"/>
      <c r="J41" s="37"/>
      <c r="L41" s="31"/>
    </row>
    <row r="42" spans="2:13" x14ac:dyDescent="0.3">
      <c r="B42" s="31" t="s">
        <v>25</v>
      </c>
      <c r="J42" s="23"/>
      <c r="L42" s="31" t="s">
        <v>26</v>
      </c>
    </row>
    <row r="43" spans="2:13" x14ac:dyDescent="0.3">
      <c r="I43" s="24"/>
      <c r="J43" s="28"/>
      <c r="K43" s="24"/>
      <c r="L43" s="24"/>
    </row>
  </sheetData>
  <sheetProtection algorithmName="SHA-512" hashValue="G1+wX5PJO5DyGQbwLRdyqrcUlsHvI3WxPSbGnZ8/yO7rZ6Pj6mf3VFG1Xg+FceRDR//nYDjVZT90ec6IPBhpJg==" saltValue="ATrnQcyYkl8Dt90UwGGAZg==" spinCount="100000" sheet="1" objects="1" scenarios="1"/>
  <mergeCells count="5">
    <mergeCell ref="B27:D27"/>
    <mergeCell ref="B36:D36"/>
    <mergeCell ref="C32:D32"/>
    <mergeCell ref="C33:D33"/>
    <mergeCell ref="C34:D34"/>
  </mergeCells>
  <pageMargins left="0.25" right="0.25" top="0.75" bottom="0.75" header="0.3" footer="0.3"/>
  <pageSetup paperSize="9" scale="6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dimension ref="B1:V23"/>
  <sheetViews>
    <sheetView showGridLines="0" zoomScaleNormal="100" workbookViewId="0">
      <selection activeCell="J22" sqref="J22"/>
    </sheetView>
  </sheetViews>
  <sheetFormatPr baseColWidth="10" defaultColWidth="8.88671875" defaultRowHeight="14.4" x14ac:dyDescent="0.3"/>
  <cols>
    <col min="1" max="1" width="1.5546875" customWidth="1"/>
    <col min="2" max="2" width="26.21875" customWidth="1"/>
    <col min="3" max="3" width="7.33203125" customWidth="1"/>
    <col min="4" max="4" width="8.33203125" customWidth="1"/>
    <col min="5" max="5" width="7.33203125" customWidth="1"/>
    <col min="6" max="6" width="7.88671875" customWidth="1"/>
    <col min="7" max="7" width="7.6640625" customWidth="1"/>
    <col min="8" max="8" width="7" customWidth="1"/>
    <col min="9" max="9" width="7.33203125" customWidth="1"/>
    <col min="10" max="10" width="6.88671875" customWidth="1"/>
    <col min="11" max="11" width="8.5546875" customWidth="1"/>
    <col min="12" max="13" width="7.88671875" customWidth="1"/>
    <col min="14" max="14" width="7.109375" customWidth="1"/>
    <col min="15" max="15" width="33.88671875" customWidth="1"/>
    <col min="16" max="16" width="13.109375" customWidth="1"/>
    <col min="17" max="17" width="33.77734375" customWidth="1"/>
    <col min="18" max="18" width="13.44140625" customWidth="1"/>
    <col min="19" max="19" width="8.5546875" bestFit="1" customWidth="1"/>
    <col min="20" max="20" width="11.5546875" customWidth="1"/>
    <col min="21" max="21" width="8.109375" bestFit="1" customWidth="1"/>
    <col min="22" max="22" width="1.88671875" customWidth="1"/>
    <col min="27" max="27" width="2" customWidth="1"/>
  </cols>
  <sheetData>
    <row r="1" spans="2:22" ht="6.6" customHeight="1" x14ac:dyDescent="0.3"/>
    <row r="2" spans="2:22" x14ac:dyDescent="0.3">
      <c r="B2" s="119" t="s">
        <v>105</v>
      </c>
      <c r="C2" s="184"/>
    </row>
    <row r="4" spans="2:22" x14ac:dyDescent="0.3">
      <c r="C4" s="353" t="s">
        <v>50</v>
      </c>
      <c r="D4" s="354"/>
      <c r="E4" s="354"/>
      <c r="F4" s="354"/>
      <c r="G4" s="354"/>
      <c r="H4" s="355"/>
      <c r="I4" s="353" t="s">
        <v>51</v>
      </c>
      <c r="J4" s="354"/>
      <c r="K4" s="354"/>
      <c r="L4" s="354"/>
      <c r="M4" s="354"/>
      <c r="N4" s="355"/>
    </row>
    <row r="5" spans="2:22" ht="40.200000000000003" customHeight="1" x14ac:dyDescent="0.3">
      <c r="C5" s="120" t="s">
        <v>52</v>
      </c>
      <c r="D5" s="121" t="s">
        <v>45</v>
      </c>
      <c r="E5" s="121" t="s">
        <v>53</v>
      </c>
      <c r="F5" s="121" t="s">
        <v>54</v>
      </c>
      <c r="G5" s="122" t="s">
        <v>55</v>
      </c>
      <c r="H5" s="123" t="s">
        <v>56</v>
      </c>
      <c r="I5" s="120" t="s">
        <v>57</v>
      </c>
      <c r="J5" s="124" t="s">
        <v>31</v>
      </c>
      <c r="K5" s="124" t="s">
        <v>33</v>
      </c>
      <c r="L5" s="124" t="s">
        <v>54</v>
      </c>
      <c r="M5" s="125" t="s">
        <v>55</v>
      </c>
      <c r="N5" s="126" t="s">
        <v>56</v>
      </c>
      <c r="O5" s="127" t="s">
        <v>16</v>
      </c>
      <c r="P5" s="128" t="s">
        <v>133</v>
      </c>
      <c r="Q5" s="129" t="s">
        <v>134</v>
      </c>
    </row>
    <row r="6" spans="2:22" x14ac:dyDescent="0.3">
      <c r="B6" s="356" t="s">
        <v>58</v>
      </c>
      <c r="C6" s="357"/>
      <c r="D6" s="357"/>
      <c r="E6" s="357"/>
      <c r="F6" s="357"/>
      <c r="G6" s="357"/>
      <c r="H6" s="357"/>
      <c r="I6" s="357"/>
      <c r="J6" s="357"/>
      <c r="K6" s="357"/>
      <c r="L6" s="357"/>
      <c r="M6" s="357"/>
      <c r="N6" s="357"/>
      <c r="O6" s="357"/>
      <c r="P6" s="357"/>
      <c r="Q6" s="358"/>
    </row>
    <row r="7" spans="2:22" x14ac:dyDescent="0.3">
      <c r="B7" s="130" t="s">
        <v>59</v>
      </c>
      <c r="C7" s="131">
        <v>2</v>
      </c>
      <c r="D7" s="132">
        <v>2</v>
      </c>
      <c r="E7" s="132">
        <v>2</v>
      </c>
      <c r="F7" s="133">
        <v>3</v>
      </c>
      <c r="G7" s="134"/>
      <c r="H7" s="135">
        <f>SUM(C7:G7)</f>
        <v>9</v>
      </c>
      <c r="I7" s="136" t="s">
        <v>60</v>
      </c>
      <c r="J7" s="137" t="s">
        <v>60</v>
      </c>
      <c r="K7" s="132">
        <v>3</v>
      </c>
      <c r="L7" s="138"/>
      <c r="M7" s="139"/>
      <c r="N7" s="140">
        <f>SUM(I7:M7)</f>
        <v>3</v>
      </c>
      <c r="O7" s="323" t="s">
        <v>136</v>
      </c>
      <c r="P7" s="141">
        <v>30.680000000000003</v>
      </c>
      <c r="Q7" s="142">
        <f>P7+15</f>
        <v>45.680000000000007</v>
      </c>
      <c r="V7" s="143"/>
    </row>
    <row r="8" spans="2:22" x14ac:dyDescent="0.3">
      <c r="B8" s="130" t="s">
        <v>61</v>
      </c>
      <c r="C8" s="144">
        <v>2</v>
      </c>
      <c r="D8" s="145">
        <v>2</v>
      </c>
      <c r="E8" s="145">
        <v>2</v>
      </c>
      <c r="F8" s="137" t="s">
        <v>60</v>
      </c>
      <c r="G8" s="139"/>
      <c r="H8" s="135">
        <f t="shared" ref="H8:H13" si="0">SUM(C8:G8)</f>
        <v>6</v>
      </c>
      <c r="I8" s="144">
        <v>2</v>
      </c>
      <c r="J8" s="145">
        <v>2</v>
      </c>
      <c r="K8" s="145">
        <v>3</v>
      </c>
      <c r="L8" s="139"/>
      <c r="M8" s="139"/>
      <c r="N8" s="140">
        <f t="shared" ref="N8:N13" si="1">SUM(I8:M8)</f>
        <v>7</v>
      </c>
      <c r="O8" s="323" t="s">
        <v>136</v>
      </c>
      <c r="P8" s="146">
        <v>87</v>
      </c>
      <c r="Q8" s="142">
        <f t="shared" ref="Q8:Q13" si="2">P8+15</f>
        <v>102</v>
      </c>
      <c r="V8" s="147"/>
    </row>
    <row r="9" spans="2:22" x14ac:dyDescent="0.3">
      <c r="B9" s="130" t="s">
        <v>62</v>
      </c>
      <c r="C9" s="144">
        <v>2</v>
      </c>
      <c r="D9" s="145">
        <v>2</v>
      </c>
      <c r="E9" s="145">
        <v>2</v>
      </c>
      <c r="F9" s="137" t="s">
        <v>60</v>
      </c>
      <c r="G9" s="139"/>
      <c r="H9" s="135">
        <f t="shared" si="0"/>
        <v>6</v>
      </c>
      <c r="I9" s="144">
        <v>2</v>
      </c>
      <c r="J9" s="145">
        <v>2</v>
      </c>
      <c r="K9" s="145">
        <v>3</v>
      </c>
      <c r="L9" s="139"/>
      <c r="M9" s="139"/>
      <c r="N9" s="140">
        <f t="shared" si="1"/>
        <v>7</v>
      </c>
      <c r="O9" s="323" t="s">
        <v>136</v>
      </c>
      <c r="P9" s="148">
        <v>64.17</v>
      </c>
      <c r="Q9" s="142">
        <f t="shared" si="2"/>
        <v>79.17</v>
      </c>
    </row>
    <row r="10" spans="2:22" x14ac:dyDescent="0.3">
      <c r="B10" s="130" t="s">
        <v>63</v>
      </c>
      <c r="C10" s="144">
        <v>2</v>
      </c>
      <c r="D10" s="145">
        <v>2</v>
      </c>
      <c r="E10" s="145">
        <v>2</v>
      </c>
      <c r="F10" s="137" t="s">
        <v>60</v>
      </c>
      <c r="G10" s="139"/>
      <c r="H10" s="135">
        <f t="shared" si="0"/>
        <v>6</v>
      </c>
      <c r="I10" s="144">
        <v>1</v>
      </c>
      <c r="J10" s="145">
        <v>1</v>
      </c>
      <c r="K10" s="145">
        <v>3</v>
      </c>
      <c r="L10" s="139"/>
      <c r="M10" s="139"/>
      <c r="N10" s="140">
        <f t="shared" si="1"/>
        <v>5</v>
      </c>
      <c r="O10" s="323" t="s">
        <v>136</v>
      </c>
      <c r="P10" s="148">
        <v>28.08</v>
      </c>
      <c r="Q10" s="142">
        <f t="shared" si="2"/>
        <v>43.08</v>
      </c>
    </row>
    <row r="11" spans="2:22" x14ac:dyDescent="0.3">
      <c r="B11" s="130" t="s">
        <v>64</v>
      </c>
      <c r="C11" s="144">
        <v>1</v>
      </c>
      <c r="D11" s="145">
        <v>2</v>
      </c>
      <c r="E11" s="145">
        <v>1</v>
      </c>
      <c r="F11" s="137" t="s">
        <v>60</v>
      </c>
      <c r="G11" s="139"/>
      <c r="H11" s="135">
        <f t="shared" si="0"/>
        <v>4</v>
      </c>
      <c r="I11" s="136" t="s">
        <v>60</v>
      </c>
      <c r="J11" s="137" t="s">
        <v>60</v>
      </c>
      <c r="K11" s="145">
        <v>3</v>
      </c>
      <c r="L11" s="139"/>
      <c r="M11" s="139"/>
      <c r="N11" s="140">
        <f t="shared" si="1"/>
        <v>3</v>
      </c>
      <c r="O11" s="323" t="s">
        <v>136</v>
      </c>
      <c r="P11" s="148">
        <v>25.110000000000003</v>
      </c>
      <c r="Q11" s="142">
        <f t="shared" si="2"/>
        <v>40.11</v>
      </c>
    </row>
    <row r="12" spans="2:22" x14ac:dyDescent="0.3">
      <c r="B12" s="130" t="s">
        <v>65</v>
      </c>
      <c r="C12" s="144">
        <v>1</v>
      </c>
      <c r="D12" s="145">
        <v>2</v>
      </c>
      <c r="E12" s="145">
        <v>1</v>
      </c>
      <c r="F12" s="137" t="s">
        <v>60</v>
      </c>
      <c r="G12" s="139"/>
      <c r="H12" s="135">
        <f t="shared" si="0"/>
        <v>4</v>
      </c>
      <c r="I12" s="144">
        <v>3</v>
      </c>
      <c r="J12" s="145">
        <v>2</v>
      </c>
      <c r="K12" s="145">
        <v>3</v>
      </c>
      <c r="L12" s="139"/>
      <c r="M12" s="139"/>
      <c r="N12" s="140">
        <f t="shared" si="1"/>
        <v>8</v>
      </c>
      <c r="O12" s="323" t="s">
        <v>136</v>
      </c>
      <c r="P12" s="148">
        <v>41.580000000000005</v>
      </c>
      <c r="Q12" s="142">
        <f t="shared" si="2"/>
        <v>56.580000000000005</v>
      </c>
    </row>
    <row r="13" spans="2:22" x14ac:dyDescent="0.3">
      <c r="B13" s="149" t="s">
        <v>66</v>
      </c>
      <c r="C13" s="150">
        <v>2</v>
      </c>
      <c r="D13" s="151">
        <v>2</v>
      </c>
      <c r="E13" s="151">
        <v>2</v>
      </c>
      <c r="F13" s="137" t="s">
        <v>60</v>
      </c>
      <c r="G13" s="139"/>
      <c r="H13" s="135">
        <f t="shared" si="0"/>
        <v>6</v>
      </c>
      <c r="I13" s="150">
        <v>1</v>
      </c>
      <c r="J13" s="151">
        <v>1</v>
      </c>
      <c r="K13" s="151">
        <v>3</v>
      </c>
      <c r="L13" s="152"/>
      <c r="M13" s="139"/>
      <c r="N13" s="140">
        <f t="shared" si="1"/>
        <v>5</v>
      </c>
      <c r="O13" s="323" t="s">
        <v>136</v>
      </c>
      <c r="P13" s="153">
        <v>36.995000000000005</v>
      </c>
      <c r="Q13" s="142">
        <f t="shared" si="2"/>
        <v>51.995000000000005</v>
      </c>
    </row>
    <row r="14" spans="2:22" ht="28.8" x14ac:dyDescent="0.3">
      <c r="B14" s="154" t="s">
        <v>68</v>
      </c>
      <c r="C14" s="150">
        <v>8</v>
      </c>
      <c r="D14" s="151">
        <v>2</v>
      </c>
      <c r="E14" s="151">
        <v>2</v>
      </c>
      <c r="F14" s="137" t="s">
        <v>60</v>
      </c>
      <c r="G14" s="139"/>
      <c r="H14" s="135">
        <v>12</v>
      </c>
      <c r="I14" s="150" t="s">
        <v>137</v>
      </c>
      <c r="J14" s="151" t="s">
        <v>140</v>
      </c>
      <c r="K14" s="151" t="s">
        <v>138</v>
      </c>
      <c r="L14" s="152"/>
      <c r="M14" s="139"/>
      <c r="N14" s="140">
        <v>8</v>
      </c>
      <c r="O14" s="324" t="s">
        <v>139</v>
      </c>
      <c r="P14" s="153">
        <f>(3.86+8+3.28)*(5.57)</f>
        <v>84.329799999999992</v>
      </c>
      <c r="Q14" s="142">
        <f>(3.86+8+3.28)*(5.57+1.6+2)</f>
        <v>138.8338</v>
      </c>
    </row>
    <row r="15" spans="2:22" x14ac:dyDescent="0.3">
      <c r="B15" s="356" t="s">
        <v>67</v>
      </c>
      <c r="C15" s="357"/>
      <c r="D15" s="357"/>
      <c r="E15" s="357"/>
      <c r="F15" s="357"/>
      <c r="G15" s="357"/>
      <c r="H15" s="357"/>
      <c r="I15" s="357"/>
      <c r="J15" s="357"/>
      <c r="K15" s="357"/>
      <c r="L15" s="357"/>
      <c r="M15" s="357"/>
      <c r="N15" s="357"/>
      <c r="O15" s="357"/>
      <c r="P15" s="357"/>
      <c r="Q15" s="358"/>
    </row>
    <row r="16" spans="2:22" x14ac:dyDescent="0.3">
      <c r="B16" s="154" t="s">
        <v>69</v>
      </c>
      <c r="C16" s="158">
        <v>8</v>
      </c>
      <c r="D16" s="155" t="s">
        <v>60</v>
      </c>
      <c r="E16" s="155" t="s">
        <v>60</v>
      </c>
      <c r="F16" s="155" t="s">
        <v>60</v>
      </c>
      <c r="G16" s="155">
        <v>1</v>
      </c>
      <c r="H16" s="156">
        <f>SUM(C16:G16)</f>
        <v>9</v>
      </c>
      <c r="I16" s="159">
        <v>3</v>
      </c>
      <c r="J16" s="155">
        <v>2</v>
      </c>
      <c r="K16" s="155" t="s">
        <v>60</v>
      </c>
      <c r="L16" s="155" t="s">
        <v>60</v>
      </c>
      <c r="M16" s="155">
        <v>1</v>
      </c>
      <c r="N16" s="157">
        <f>SUM(I16:M16)</f>
        <v>6</v>
      </c>
      <c r="O16" s="160" t="s">
        <v>70</v>
      </c>
      <c r="P16" s="161"/>
      <c r="Q16" s="162">
        <v>60</v>
      </c>
    </row>
    <row r="17" spans="2:17" ht="26.4" x14ac:dyDescent="0.3">
      <c r="B17" s="163" t="s">
        <v>71</v>
      </c>
      <c r="C17" s="164">
        <v>9</v>
      </c>
      <c r="D17" s="155" t="s">
        <v>60</v>
      </c>
      <c r="E17" s="155" t="s">
        <v>60</v>
      </c>
      <c r="F17" s="155" t="s">
        <v>60</v>
      </c>
      <c r="G17" s="155">
        <v>3</v>
      </c>
      <c r="H17" s="165">
        <f>SUM(C17:G17)</f>
        <v>12</v>
      </c>
      <c r="I17" s="164">
        <v>6</v>
      </c>
      <c r="J17" s="155">
        <v>5</v>
      </c>
      <c r="K17" s="155" t="s">
        <v>60</v>
      </c>
      <c r="L17" s="155" t="s">
        <v>60</v>
      </c>
      <c r="M17" s="155">
        <v>1</v>
      </c>
      <c r="N17" s="157">
        <f>SUM(I17:M17)</f>
        <v>12</v>
      </c>
      <c r="O17" s="166" t="s">
        <v>72</v>
      </c>
      <c r="P17" s="161"/>
      <c r="Q17" s="167" t="s">
        <v>76</v>
      </c>
    </row>
    <row r="18" spans="2:17" x14ac:dyDescent="0.3">
      <c r="B18" s="163" t="s">
        <v>73</v>
      </c>
      <c r="C18" s="164" t="s">
        <v>60</v>
      </c>
      <c r="D18" s="168">
        <v>3</v>
      </c>
      <c r="E18" s="168">
        <v>3</v>
      </c>
      <c r="F18" s="155" t="s">
        <v>60</v>
      </c>
      <c r="G18" s="155">
        <v>3</v>
      </c>
      <c r="H18" s="169">
        <f>SUM(C18:G18)</f>
        <v>9</v>
      </c>
      <c r="I18" s="164" t="s">
        <v>60</v>
      </c>
      <c r="J18" s="155" t="s">
        <v>60</v>
      </c>
      <c r="K18" s="168">
        <v>4</v>
      </c>
      <c r="L18" s="168">
        <v>1</v>
      </c>
      <c r="M18" s="155" t="s">
        <v>60</v>
      </c>
      <c r="N18" s="157">
        <f t="shared" ref="N18:N19" si="3">SUM(I18:M18)</f>
        <v>5</v>
      </c>
      <c r="O18" s="170" t="s">
        <v>74</v>
      </c>
      <c r="P18" s="161"/>
      <c r="Q18" s="162">
        <v>70</v>
      </c>
    </row>
    <row r="19" spans="2:17" x14ac:dyDescent="0.3">
      <c r="B19" s="154" t="s">
        <v>75</v>
      </c>
      <c r="C19" s="173">
        <v>4</v>
      </c>
      <c r="D19" s="174">
        <v>2</v>
      </c>
      <c r="E19" s="174">
        <v>1</v>
      </c>
      <c r="F19" s="175" t="s">
        <v>60</v>
      </c>
      <c r="G19" s="174">
        <v>3</v>
      </c>
      <c r="H19" s="176">
        <f t="shared" ref="H19" si="4">SUM(C19:G19)</f>
        <v>10</v>
      </c>
      <c r="I19" s="173">
        <v>2</v>
      </c>
      <c r="J19" s="174">
        <v>2</v>
      </c>
      <c r="K19" s="174">
        <v>3</v>
      </c>
      <c r="L19" s="175" t="s">
        <v>60</v>
      </c>
      <c r="M19" s="175" t="s">
        <v>60</v>
      </c>
      <c r="N19" s="177">
        <f t="shared" si="3"/>
        <v>7</v>
      </c>
      <c r="O19" s="166" t="s">
        <v>77</v>
      </c>
      <c r="P19" s="161"/>
      <c r="Q19" s="178">
        <v>60</v>
      </c>
    </row>
    <row r="21" spans="2:17" x14ac:dyDescent="0.3">
      <c r="C21" s="171" t="s">
        <v>135</v>
      </c>
    </row>
    <row r="22" spans="2:17" x14ac:dyDescent="0.3">
      <c r="C22" s="172"/>
    </row>
    <row r="23" spans="2:17" x14ac:dyDescent="0.3">
      <c r="C23" s="172"/>
    </row>
  </sheetData>
  <mergeCells count="4">
    <mergeCell ref="C4:H4"/>
    <mergeCell ref="I4:N4"/>
    <mergeCell ref="B6:Q6"/>
    <mergeCell ref="B15:Q1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1. Stat dechet</vt:lpstr>
      <vt:lpstr>2. Dimension ecopoint</vt:lpstr>
      <vt:lpstr>Dimension prive en surface</vt:lpstr>
      <vt:lpstr>4. Stat ecopoint</vt:lpstr>
      <vt:lpstr>'Dimension prive en surface'!_ftn1</vt:lpstr>
      <vt:lpstr>'Dimension prive en surface'!_ftnref1</vt:lpstr>
    </vt:vector>
  </TitlesOfParts>
  <Company>Ville de Pully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Sylvain Gorgerat</dc:creator>
  <cp:lastModifiedBy>Gomez, Solène</cp:lastModifiedBy>
  <cp:lastPrinted>2019-01-07T16:19:50Z</cp:lastPrinted>
  <dcterms:created xsi:type="dcterms:W3CDTF">2013-03-01T08:29:33Z</dcterms:created>
  <dcterms:modified xsi:type="dcterms:W3CDTF">2022-03-04T14:00:14Z</dcterms:modified>
</cp:coreProperties>
</file>